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Prepis_11_3_19\Documents\PODJETJA POSREDNISTVO\MONG\RAZPIS 2019\RAZPIS\KONČNA VERZIJA POSLANA\"/>
    </mc:Choice>
  </mc:AlternateContent>
  <xr:revisionPtr revIDLastSave="0" documentId="13_ncr:1_{FDF1C3B1-DA00-4756-AC7C-6D43D22733BE}" xr6:coauthVersionLast="43" xr6:coauthVersionMax="43" xr10:uidLastSave="{00000000-0000-0000-0000-000000000000}"/>
  <bookViews>
    <workbookView xWindow="-108" yWindow="-108" windowWidth="23256" windowHeight="12576" firstSheet="5" activeTab="10" xr2:uid="{00000000-000D-0000-FFFF-FFFF00000000}"/>
  </bookViews>
  <sheets>
    <sheet name="UPRAVA" sheetId="1" r:id="rId1"/>
    <sheet name="UPRAVA ZAKLONIŠČA" sheetId="2" r:id="rId2"/>
    <sheet name="UPRAVA AVTOBUSNE POSTAJE " sheetId="42" r:id="rId3"/>
    <sheet name="UPRAVA CIVILNA ZAŠČITA" sheetId="4" r:id="rId4"/>
    <sheet name="UPRAVA VOZILA" sheetId="6" r:id="rId5"/>
    <sheet name="KRAJEVNE SKUPNOSTI" sheetId="41" r:id="rId6"/>
    <sheet name="KNJIŽNICA" sheetId="7" r:id="rId7"/>
    <sheet name="KNJIŽNICA VOZILA" sheetId="8" r:id="rId8"/>
    <sheet name="GENG" sheetId="9" r:id="rId9"/>
    <sheet name="GENG VOZILA" sheetId="10" r:id="rId10"/>
    <sheet name="GENG PLOVILA" sheetId="11" r:id="rId11"/>
    <sheet name="GENG ALL RISK" sheetId="12" r:id="rId12"/>
    <sheet name="OŠ  BRANIK_2018" sheetId="13" r:id="rId13"/>
    <sheet name="OŠ FRANA ERJAVCA" sheetId="14" r:id="rId14"/>
    <sheet name="OŠ F. ERJAVCA VOZILA" sheetId="15" r:id="rId15"/>
    <sheet name="OŠ ČEPOVAN" sheetId="16" r:id="rId16"/>
    <sheet name="OŠ ČEPOVAN-VOZILA" sheetId="17" r:id="rId17"/>
    <sheet name="OŠ ŠEMPAS" sheetId="18" r:id="rId18"/>
    <sheet name="OŠ ŠEMPAS-VOZILA" sheetId="19" r:id="rId19"/>
    <sheet name="OŠ Kozara" sheetId="20" r:id="rId20"/>
    <sheet name="OŠ KOZARA VOZILA" sheetId="21" r:id="rId21"/>
    <sheet name="OŠ DORNBERK" sheetId="22" r:id="rId22"/>
    <sheet name="OŠ DORNBERK-VOZILA" sheetId="23" r:id="rId23"/>
    <sheet name="OŠ MILOJKE ŠTRUKELJ" sheetId="24" r:id="rId24"/>
    <sheet name="OŠ MILOJKE ŠTRUKELJ-VOZILA" sheetId="25" r:id="rId25"/>
    <sheet name="GLASBENA ŠOLA" sheetId="26" r:id="rId26"/>
    <sheet name="VRTEC" sheetId="29" r:id="rId27"/>
    <sheet name="VRTEC VOZILA" sheetId="28" r:id="rId28"/>
    <sheet name="LJUDSKA UNIVERZA NOVA GORICA" sheetId="30" r:id="rId29"/>
    <sheet name="MLADINSKI CENTER" sheetId="31" r:id="rId30"/>
    <sheet name="MLADIN. CENTER PRIREDITVE" sheetId="32" r:id="rId31"/>
    <sheet name="OŠ SOLKAN" sheetId="43" r:id="rId32"/>
    <sheet name="OŠ SOLKAN VOZILA" sheetId="44" r:id="rId33"/>
    <sheet name="ZD ZOBO NG" sheetId="33" r:id="rId34"/>
    <sheet name="ZD ZOBO VOZILA" sheetId="34" r:id="rId35"/>
    <sheet name="KULTURNI DOM" sheetId="35" r:id="rId36"/>
    <sheet name="GORIŠKI MUZEJ" sheetId="38" r:id="rId37"/>
    <sheet name="MUZEJ VOZILA" sheetId="39" r:id="rId38"/>
    <sheet name="SS MONG 2019" sheetId="40" r:id="rId39"/>
    <sheet name="LEKARNA" sheetId="37" r:id="rId40"/>
    <sheet name="LEKARNA VOZILA" sheetId="36" r:id="rId41"/>
  </sheets>
  <definedNames>
    <definedName name="_xlnm.Print_Area" localSheetId="38">'SS MONG 2019'!$C$1:$AI$373</definedName>
    <definedName name="_xlnm.Print_Titles" localSheetId="38">'SS MONG 2019'!$1:$1</definedName>
    <definedName name="_xlnm.Database" localSheetId="38">'SS MONG 2019'!$A$1:$O$358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43" l="1"/>
  <c r="D32" i="43"/>
  <c r="C32" i="43"/>
  <c r="I17" i="43"/>
  <c r="I15" i="43"/>
  <c r="I14" i="43"/>
  <c r="I13" i="43"/>
  <c r="I20" i="43" s="1"/>
  <c r="D7" i="43"/>
  <c r="E19" i="42" l="1"/>
  <c r="K79" i="41" l="1"/>
  <c r="I385" i="40" l="1"/>
  <c r="I384" i="40"/>
  <c r="I386" i="40" s="1"/>
  <c r="I390" i="40" s="1"/>
  <c r="K375" i="40"/>
  <c r="AK372" i="40"/>
  <c r="S372" i="40"/>
  <c r="J372" i="40"/>
  <c r="L372" i="40" s="1"/>
  <c r="I372" i="40"/>
  <c r="O372" i="40" s="1"/>
  <c r="AK371" i="40"/>
  <c r="S371" i="40"/>
  <c r="O371" i="40"/>
  <c r="J371" i="40"/>
  <c r="L371" i="40" s="1"/>
  <c r="I371" i="40"/>
  <c r="B371" i="40"/>
  <c r="B372" i="40" s="1"/>
  <c r="AK370" i="40"/>
  <c r="S370" i="40"/>
  <c r="O370" i="40"/>
  <c r="I370" i="40"/>
  <c r="J370" i="40" s="1"/>
  <c r="L370" i="40" s="1"/>
  <c r="C370" i="40"/>
  <c r="C371" i="40" s="1"/>
  <c r="C372" i="40" s="1"/>
  <c r="B370" i="40"/>
  <c r="AK369" i="40"/>
  <c r="S369" i="40"/>
  <c r="J369" i="40"/>
  <c r="L369" i="40" s="1"/>
  <c r="I369" i="40"/>
  <c r="O369" i="40" s="1"/>
  <c r="C369" i="40"/>
  <c r="B369" i="40"/>
  <c r="AK368" i="40"/>
  <c r="S368" i="40"/>
  <c r="O368" i="40"/>
  <c r="J368" i="40"/>
  <c r="L368" i="40" s="1"/>
  <c r="I368" i="40"/>
  <c r="AK367" i="40"/>
  <c r="S367" i="40"/>
  <c r="O367" i="40"/>
  <c r="I367" i="40"/>
  <c r="J367" i="40" s="1"/>
  <c r="L367" i="40" s="1"/>
  <c r="B367" i="40"/>
  <c r="B368" i="40" s="1"/>
  <c r="AK366" i="40"/>
  <c r="S366" i="40"/>
  <c r="O366" i="40"/>
  <c r="I366" i="40"/>
  <c r="J366" i="40" s="1"/>
  <c r="L366" i="40" s="1"/>
  <c r="AK365" i="40"/>
  <c r="S365" i="40"/>
  <c r="AK364" i="40"/>
  <c r="S364" i="40"/>
  <c r="I364" i="40"/>
  <c r="O364" i="40" s="1"/>
  <c r="AK363" i="40"/>
  <c r="S363" i="40"/>
  <c r="AK362" i="40"/>
  <c r="S362" i="40"/>
  <c r="O362" i="40"/>
  <c r="I362" i="40"/>
  <c r="J362" i="40" s="1"/>
  <c r="L362" i="40" s="1"/>
  <c r="B362" i="40"/>
  <c r="B364" i="40" s="1"/>
  <c r="B366" i="40" s="1"/>
  <c r="AK361" i="40"/>
  <c r="S361" i="40"/>
  <c r="I361" i="40"/>
  <c r="J361" i="40" s="1"/>
  <c r="L361" i="40" s="1"/>
  <c r="B361" i="40"/>
  <c r="AK360" i="40"/>
  <c r="S360" i="40"/>
  <c r="O360" i="40"/>
  <c r="J360" i="40"/>
  <c r="L360" i="40" s="1"/>
  <c r="I360" i="40"/>
  <c r="AK359" i="40"/>
  <c r="S359" i="40"/>
  <c r="I359" i="40"/>
  <c r="J359" i="40" s="1"/>
  <c r="L359" i="40" s="1"/>
  <c r="AK358" i="40"/>
  <c r="S358" i="40"/>
  <c r="J358" i="40"/>
  <c r="L358" i="40" s="1"/>
  <c r="I358" i="40"/>
  <c r="AK357" i="40"/>
  <c r="V357" i="40"/>
  <c r="T357" i="40"/>
  <c r="S357" i="40"/>
  <c r="O357" i="40"/>
  <c r="J357" i="40"/>
  <c r="L357" i="40" s="1"/>
  <c r="I357" i="40"/>
  <c r="AK356" i="40"/>
  <c r="V356" i="40"/>
  <c r="T356" i="40"/>
  <c r="S356" i="40"/>
  <c r="I356" i="40"/>
  <c r="J356" i="40" s="1"/>
  <c r="L356" i="40" s="1"/>
  <c r="AK355" i="40"/>
  <c r="V355" i="40"/>
  <c r="T355" i="40"/>
  <c r="S355" i="40"/>
  <c r="I355" i="40"/>
  <c r="O355" i="40" s="1"/>
  <c r="AK354" i="40"/>
  <c r="V354" i="40"/>
  <c r="T354" i="40"/>
  <c r="S354" i="40"/>
  <c r="I354" i="40"/>
  <c r="J354" i="40" s="1"/>
  <c r="L354" i="40" s="1"/>
  <c r="AK353" i="40"/>
  <c r="V353" i="40"/>
  <c r="T353" i="40"/>
  <c r="S353" i="40"/>
  <c r="I353" i="40"/>
  <c r="J353" i="40" s="1"/>
  <c r="L353" i="40" s="1"/>
  <c r="AK352" i="40"/>
  <c r="V352" i="40"/>
  <c r="T352" i="40"/>
  <c r="S352" i="40"/>
  <c r="N352" i="40"/>
  <c r="J352" i="40"/>
  <c r="L352" i="40" s="1"/>
  <c r="I352" i="40"/>
  <c r="O352" i="40" s="1"/>
  <c r="C352" i="40"/>
  <c r="C353" i="40" s="1"/>
  <c r="C354" i="40" s="1"/>
  <c r="C355" i="40" s="1"/>
  <c r="C356" i="40" s="1"/>
  <c r="C357" i="40" s="1"/>
  <c r="C358" i="40" s="1"/>
  <c r="C359" i="40" s="1"/>
  <c r="C360" i="40" s="1"/>
  <c r="AK351" i="40"/>
  <c r="V351" i="40"/>
  <c r="T351" i="40"/>
  <c r="S351" i="40"/>
  <c r="I351" i="40"/>
  <c r="J351" i="40" s="1"/>
  <c r="L351" i="40" s="1"/>
  <c r="AK350" i="40"/>
  <c r="V350" i="40"/>
  <c r="T350" i="40"/>
  <c r="S350" i="40"/>
  <c r="I350" i="40"/>
  <c r="J350" i="40" s="1"/>
  <c r="L350" i="40" s="1"/>
  <c r="C350" i="40"/>
  <c r="B350" i="40"/>
  <c r="B351" i="40" s="1"/>
  <c r="B352" i="40" s="1"/>
  <c r="B353" i="40" s="1"/>
  <c r="B354" i="40" s="1"/>
  <c r="B355" i="40" s="1"/>
  <c r="B356" i="40" s="1"/>
  <c r="B357" i="40" s="1"/>
  <c r="B358" i="40" s="1"/>
  <c r="B359" i="40" s="1"/>
  <c r="B360" i="40" s="1"/>
  <c r="AK349" i="40"/>
  <c r="V349" i="40"/>
  <c r="T349" i="40"/>
  <c r="S349" i="40"/>
  <c r="O349" i="40"/>
  <c r="I349" i="40"/>
  <c r="J349" i="40" s="1"/>
  <c r="L349" i="40" s="1"/>
  <c r="B349" i="40"/>
  <c r="AK348" i="40"/>
  <c r="V348" i="40"/>
  <c r="T348" i="40"/>
  <c r="S348" i="40"/>
  <c r="I348" i="40"/>
  <c r="J348" i="40" s="1"/>
  <c r="L348" i="40" s="1"/>
  <c r="C348" i="40"/>
  <c r="AK347" i="40"/>
  <c r="V347" i="40"/>
  <c r="T347" i="40"/>
  <c r="S347" i="40"/>
  <c r="L347" i="40"/>
  <c r="J347" i="40"/>
  <c r="I347" i="40"/>
  <c r="C347" i="40"/>
  <c r="AK346" i="40"/>
  <c r="V346" i="40"/>
  <c r="T346" i="40"/>
  <c r="S346" i="40"/>
  <c r="I346" i="40"/>
  <c r="O346" i="40" s="1"/>
  <c r="C346" i="40"/>
  <c r="AK345" i="40"/>
  <c r="V345" i="40"/>
  <c r="T345" i="40"/>
  <c r="S345" i="40"/>
  <c r="I345" i="40"/>
  <c r="J345" i="40" s="1"/>
  <c r="L345" i="40" s="1"/>
  <c r="C345" i="40"/>
  <c r="AK344" i="40"/>
  <c r="V344" i="40"/>
  <c r="T344" i="40"/>
  <c r="S344" i="40"/>
  <c r="I344" i="40"/>
  <c r="J344" i="40" s="1"/>
  <c r="L344" i="40" s="1"/>
  <c r="B344" i="40"/>
  <c r="B345" i="40" s="1"/>
  <c r="B346" i="40" s="1"/>
  <c r="B347" i="40" s="1"/>
  <c r="B348" i="40" s="1"/>
  <c r="AK343" i="40"/>
  <c r="S343" i="40"/>
  <c r="J343" i="40"/>
  <c r="L343" i="40" s="1"/>
  <c r="I343" i="40"/>
  <c r="O343" i="40" s="1"/>
  <c r="B343" i="40"/>
  <c r="AK342" i="40"/>
  <c r="S342" i="40"/>
  <c r="O342" i="40"/>
  <c r="I342" i="40"/>
  <c r="J342" i="40" s="1"/>
  <c r="L342" i="40" s="1"/>
  <c r="B342" i="40"/>
  <c r="AK341" i="40"/>
  <c r="S341" i="40"/>
  <c r="I341" i="40"/>
  <c r="O341" i="40" s="1"/>
  <c r="C341" i="40"/>
  <c r="C342" i="40" s="1"/>
  <c r="C343" i="40" s="1"/>
  <c r="B341" i="40"/>
  <c r="AK340" i="40"/>
  <c r="S340" i="40"/>
  <c r="J340" i="40"/>
  <c r="L340" i="40" s="1"/>
  <c r="I340" i="40"/>
  <c r="O340" i="40" s="1"/>
  <c r="B340" i="40"/>
  <c r="AK339" i="40"/>
  <c r="S339" i="40"/>
  <c r="O339" i="40"/>
  <c r="L339" i="40"/>
  <c r="J339" i="40"/>
  <c r="I339" i="40"/>
  <c r="AK338" i="40"/>
  <c r="S338" i="40"/>
  <c r="O338" i="40"/>
  <c r="J338" i="40"/>
  <c r="L338" i="40" s="1"/>
  <c r="I338" i="40"/>
  <c r="C338" i="40"/>
  <c r="C339" i="40" s="1"/>
  <c r="B338" i="40"/>
  <c r="B339" i="40" s="1"/>
  <c r="AK337" i="40"/>
  <c r="S337" i="40"/>
  <c r="I337" i="40"/>
  <c r="O337" i="40" s="1"/>
  <c r="C337" i="40"/>
  <c r="B337" i="40"/>
  <c r="AK336" i="40"/>
  <c r="S336" i="40"/>
  <c r="O336" i="40"/>
  <c r="L336" i="40"/>
  <c r="J336" i="40"/>
  <c r="I336" i="40"/>
  <c r="C336" i="40"/>
  <c r="AK335" i="40"/>
  <c r="S335" i="40"/>
  <c r="O335" i="40"/>
  <c r="J335" i="40"/>
  <c r="L335" i="40" s="1"/>
  <c r="I335" i="40"/>
  <c r="AK334" i="40"/>
  <c r="S334" i="40"/>
  <c r="AK333" i="40"/>
  <c r="S333" i="40"/>
  <c r="AK332" i="40"/>
  <c r="S332" i="40"/>
  <c r="AK331" i="40"/>
  <c r="S331" i="40"/>
  <c r="AK330" i="40"/>
  <c r="S330" i="40"/>
  <c r="AK329" i="40"/>
  <c r="S329" i="40"/>
  <c r="AK328" i="40"/>
  <c r="S328" i="40"/>
  <c r="AK327" i="40"/>
  <c r="S327" i="40"/>
  <c r="AK326" i="40"/>
  <c r="S326" i="40"/>
  <c r="AK325" i="40"/>
  <c r="S325" i="40"/>
  <c r="AK324" i="40"/>
  <c r="S324" i="40"/>
  <c r="AK323" i="40"/>
  <c r="S323" i="40"/>
  <c r="AK322" i="40"/>
  <c r="S322" i="40"/>
  <c r="AK321" i="40"/>
  <c r="S321" i="40"/>
  <c r="AK320" i="40"/>
  <c r="S320" i="40"/>
  <c r="AK319" i="40"/>
  <c r="S319" i="40"/>
  <c r="AK318" i="40"/>
  <c r="S318" i="40"/>
  <c r="AK317" i="40"/>
  <c r="S317" i="40"/>
  <c r="AK316" i="40"/>
  <c r="S316" i="40"/>
  <c r="AK315" i="40"/>
  <c r="S315" i="40"/>
  <c r="AK314" i="40"/>
  <c r="S314" i="40"/>
  <c r="I314" i="40"/>
  <c r="O314" i="40" s="1"/>
  <c r="B314" i="40"/>
  <c r="B335" i="40" s="1"/>
  <c r="B336" i="40" s="1"/>
  <c r="AK313" i="40"/>
  <c r="S313" i="40"/>
  <c r="I313" i="40"/>
  <c r="J313" i="40" s="1"/>
  <c r="L313" i="40" s="1"/>
  <c r="C313" i="40"/>
  <c r="C314" i="40" s="1"/>
  <c r="B313" i="40"/>
  <c r="AK312" i="40"/>
  <c r="S312" i="40"/>
  <c r="J312" i="40"/>
  <c r="L312" i="40" s="1"/>
  <c r="I312" i="40"/>
  <c r="O312" i="40" s="1"/>
  <c r="B312" i="40"/>
  <c r="AK311" i="40"/>
  <c r="S311" i="40"/>
  <c r="AK310" i="40"/>
  <c r="S310" i="40"/>
  <c r="AK309" i="40"/>
  <c r="S309" i="40"/>
  <c r="AK308" i="40"/>
  <c r="S308" i="40"/>
  <c r="AK307" i="40"/>
  <c r="S307" i="40"/>
  <c r="AK306" i="40"/>
  <c r="S306" i="40"/>
  <c r="AK305" i="40"/>
  <c r="S305" i="40"/>
  <c r="AK304" i="40"/>
  <c r="S304" i="40"/>
  <c r="AK303" i="40"/>
  <c r="S303" i="40"/>
  <c r="AK302" i="40"/>
  <c r="S302" i="40"/>
  <c r="AK301" i="40"/>
  <c r="S301" i="40"/>
  <c r="AK300" i="40"/>
  <c r="S300" i="40"/>
  <c r="AK299" i="40"/>
  <c r="S299" i="40"/>
  <c r="AK298" i="40"/>
  <c r="S298" i="40"/>
  <c r="AK297" i="40"/>
  <c r="S297" i="40"/>
  <c r="AK296" i="40"/>
  <c r="S296" i="40"/>
  <c r="AK295" i="40"/>
  <c r="S295" i="40"/>
  <c r="AK294" i="40"/>
  <c r="S294" i="40"/>
  <c r="AK293" i="40"/>
  <c r="S293" i="40"/>
  <c r="AK292" i="40"/>
  <c r="S292" i="40"/>
  <c r="AK291" i="40"/>
  <c r="S291" i="40"/>
  <c r="AK290" i="40"/>
  <c r="S290" i="40"/>
  <c r="AK289" i="40"/>
  <c r="S289" i="40"/>
  <c r="AK288" i="40"/>
  <c r="S288" i="40"/>
  <c r="AK287" i="40"/>
  <c r="S287" i="40"/>
  <c r="AK286" i="40"/>
  <c r="S286" i="40"/>
  <c r="AK285" i="40"/>
  <c r="S285" i="40"/>
  <c r="AK284" i="40"/>
  <c r="S284" i="40"/>
  <c r="I284" i="40"/>
  <c r="J284" i="40" s="1"/>
  <c r="L284" i="40" s="1"/>
  <c r="B284" i="40"/>
  <c r="AK283" i="40"/>
  <c r="S283" i="40"/>
  <c r="J283" i="40"/>
  <c r="L283" i="40" s="1"/>
  <c r="I283" i="40"/>
  <c r="O283" i="40" s="1"/>
  <c r="AK282" i="40"/>
  <c r="S282" i="40"/>
  <c r="AK281" i="40"/>
  <c r="S281" i="40"/>
  <c r="I281" i="40"/>
  <c r="C281" i="40"/>
  <c r="C282" i="40" s="1"/>
  <c r="C283" i="40" s="1"/>
  <c r="C284" i="40" s="1"/>
  <c r="C285" i="40" s="1"/>
  <c r="C286" i="40" s="1"/>
  <c r="C287" i="40" s="1"/>
  <c r="AK280" i="40"/>
  <c r="S280" i="40"/>
  <c r="O280" i="40"/>
  <c r="J280" i="40"/>
  <c r="L280" i="40" s="1"/>
  <c r="I280" i="40"/>
  <c r="B280" i="40"/>
  <c r="B283" i="40" s="1"/>
  <c r="AK279" i="40"/>
  <c r="S279" i="40"/>
  <c r="AK278" i="40"/>
  <c r="S278" i="40"/>
  <c r="AK277" i="40"/>
  <c r="S277" i="40"/>
  <c r="AK276" i="40"/>
  <c r="S276" i="40"/>
  <c r="AK275" i="40"/>
  <c r="S275" i="40"/>
  <c r="AK274" i="40"/>
  <c r="S274" i="40"/>
  <c r="AK273" i="40"/>
  <c r="S273" i="40"/>
  <c r="AK272" i="40"/>
  <c r="S272" i="40"/>
  <c r="AK271" i="40"/>
  <c r="S271" i="40"/>
  <c r="AK270" i="40"/>
  <c r="S270" i="40"/>
  <c r="AK269" i="40"/>
  <c r="S269" i="40"/>
  <c r="I269" i="40"/>
  <c r="O269" i="40" s="1"/>
  <c r="AK268" i="40"/>
  <c r="S268" i="40"/>
  <c r="I268" i="40"/>
  <c r="O268" i="40" s="1"/>
  <c r="AK267" i="40"/>
  <c r="S267" i="40"/>
  <c r="O267" i="40"/>
  <c r="I267" i="40"/>
  <c r="J267" i="40" s="1"/>
  <c r="L267" i="40" s="1"/>
  <c r="AK266" i="40"/>
  <c r="S266" i="40"/>
  <c r="I266" i="40"/>
  <c r="O266" i="40" s="1"/>
  <c r="AK265" i="40"/>
  <c r="T265" i="40"/>
  <c r="S265" i="40"/>
  <c r="O265" i="40"/>
  <c r="J265" i="40"/>
  <c r="L265" i="40" s="1"/>
  <c r="I265" i="40"/>
  <c r="AK264" i="40"/>
  <c r="S264" i="40"/>
  <c r="O264" i="40"/>
  <c r="I264" i="40"/>
  <c r="J264" i="40" s="1"/>
  <c r="L264" i="40" s="1"/>
  <c r="AK263" i="40"/>
  <c r="S263" i="40"/>
  <c r="I263" i="40"/>
  <c r="J263" i="40" s="1"/>
  <c r="L263" i="40" s="1"/>
  <c r="AK262" i="40"/>
  <c r="S262" i="40"/>
  <c r="O262" i="40"/>
  <c r="J262" i="40"/>
  <c r="L262" i="40" s="1"/>
  <c r="I262" i="40"/>
  <c r="AK261" i="40"/>
  <c r="S261" i="40"/>
  <c r="O261" i="40"/>
  <c r="I261" i="40"/>
  <c r="J261" i="40" s="1"/>
  <c r="L261" i="40" s="1"/>
  <c r="B261" i="40"/>
  <c r="B262" i="40" s="1"/>
  <c r="B263" i="40" s="1"/>
  <c r="B264" i="40" s="1"/>
  <c r="B265" i="40" s="1"/>
  <c r="B266" i="40" s="1"/>
  <c r="B267" i="40" s="1"/>
  <c r="B268" i="40" s="1"/>
  <c r="B269" i="40" s="1"/>
  <c r="AK260" i="40"/>
  <c r="S260" i="40"/>
  <c r="I260" i="40"/>
  <c r="J260" i="40" s="1"/>
  <c r="L260" i="40" s="1"/>
  <c r="C260" i="40"/>
  <c r="C261" i="40" s="1"/>
  <c r="C262" i="40" s="1"/>
  <c r="C263" i="40" s="1"/>
  <c r="C264" i="40" s="1"/>
  <c r="C265" i="40" s="1"/>
  <c r="C266" i="40" s="1"/>
  <c r="C267" i="40" s="1"/>
  <c r="C268" i="40" s="1"/>
  <c r="C269" i="40" s="1"/>
  <c r="AK259" i="40"/>
  <c r="S259" i="40"/>
  <c r="O259" i="40"/>
  <c r="J259" i="40"/>
  <c r="L259" i="40" s="1"/>
  <c r="I259" i="40"/>
  <c r="AK258" i="40"/>
  <c r="AK257" i="40"/>
  <c r="S257" i="40"/>
  <c r="AK256" i="40"/>
  <c r="S256" i="40"/>
  <c r="I256" i="40"/>
  <c r="O256" i="40" s="1"/>
  <c r="AK255" i="40"/>
  <c r="S255" i="40"/>
  <c r="O255" i="40"/>
  <c r="L255" i="40"/>
  <c r="J255" i="40"/>
  <c r="I255" i="40"/>
  <c r="AK254" i="40"/>
  <c r="S254" i="40"/>
  <c r="O254" i="40"/>
  <c r="J254" i="40"/>
  <c r="L254" i="40" s="1"/>
  <c r="I254" i="40"/>
  <c r="B254" i="40"/>
  <c r="B255" i="40" s="1"/>
  <c r="B256" i="40" s="1"/>
  <c r="B259" i="40" s="1"/>
  <c r="B260" i="40" s="1"/>
  <c r="AK253" i="40"/>
  <c r="S253" i="40"/>
  <c r="I253" i="40"/>
  <c r="O253" i="40" s="1"/>
  <c r="AK252" i="40"/>
  <c r="S252" i="40"/>
  <c r="O252" i="40"/>
  <c r="L252" i="40"/>
  <c r="J252" i="40"/>
  <c r="I252" i="40"/>
  <c r="AK251" i="40"/>
  <c r="S251" i="40"/>
  <c r="O251" i="40"/>
  <c r="J251" i="40"/>
  <c r="L251" i="40" s="1"/>
  <c r="I251" i="40"/>
  <c r="B251" i="40"/>
  <c r="B252" i="40" s="1"/>
  <c r="B253" i="40" s="1"/>
  <c r="AK250" i="40"/>
  <c r="S250" i="40"/>
  <c r="I250" i="40"/>
  <c r="O250" i="40" s="1"/>
  <c r="AK249" i="40"/>
  <c r="S249" i="40"/>
  <c r="J249" i="40"/>
  <c r="L249" i="40" s="1"/>
  <c r="I249" i="40"/>
  <c r="O249" i="40" s="1"/>
  <c r="AK248" i="40"/>
  <c r="S248" i="40"/>
  <c r="I248" i="40"/>
  <c r="AK247" i="40"/>
  <c r="S247" i="40"/>
  <c r="I247" i="40"/>
  <c r="J247" i="40" s="1"/>
  <c r="L247" i="40" s="1"/>
  <c r="B247" i="40"/>
  <c r="B248" i="40" s="1"/>
  <c r="B249" i="40" s="1"/>
  <c r="AK246" i="40"/>
  <c r="S246" i="40"/>
  <c r="J246" i="40"/>
  <c r="L246" i="40" s="1"/>
  <c r="I246" i="40"/>
  <c r="O246" i="40" s="1"/>
  <c r="AK245" i="40"/>
  <c r="S245" i="40"/>
  <c r="I245" i="40"/>
  <c r="J245" i="40" s="1"/>
  <c r="L245" i="40" s="1"/>
  <c r="B245" i="40"/>
  <c r="B246" i="40" s="1"/>
  <c r="AK244" i="40"/>
  <c r="S244" i="40"/>
  <c r="I244" i="40"/>
  <c r="C244" i="40"/>
  <c r="C245" i="40" s="1"/>
  <c r="C246" i="40" s="1"/>
  <c r="C247" i="40" s="1"/>
  <c r="C248" i="40" s="1"/>
  <c r="C249" i="40" s="1"/>
  <c r="C250" i="40" s="1"/>
  <c r="C251" i="40" s="1"/>
  <c r="C252" i="40" s="1"/>
  <c r="C253" i="40" s="1"/>
  <c r="C254" i="40" s="1"/>
  <c r="C255" i="40" s="1"/>
  <c r="C256" i="40" s="1"/>
  <c r="B244" i="40"/>
  <c r="AK243" i="40"/>
  <c r="S243" i="40"/>
  <c r="I243" i="40"/>
  <c r="O243" i="40" s="1"/>
  <c r="B243" i="40"/>
  <c r="AK242" i="40"/>
  <c r="S242" i="40"/>
  <c r="AK241" i="40"/>
  <c r="S241" i="40"/>
  <c r="AK240" i="40"/>
  <c r="S240" i="40"/>
  <c r="AK239" i="40"/>
  <c r="S239" i="40"/>
  <c r="AK238" i="40"/>
  <c r="S238" i="40"/>
  <c r="AK237" i="40"/>
  <c r="S237" i="40"/>
  <c r="AK236" i="40"/>
  <c r="S236" i="40"/>
  <c r="AK235" i="40"/>
  <c r="S235" i="40"/>
  <c r="AK234" i="40"/>
  <c r="S234" i="40"/>
  <c r="AK233" i="40"/>
  <c r="S233" i="40"/>
  <c r="AK232" i="40"/>
  <c r="S232" i="40"/>
  <c r="AK231" i="40"/>
  <c r="S231" i="40"/>
  <c r="AK230" i="40"/>
  <c r="S230" i="40"/>
  <c r="AK229" i="40"/>
  <c r="S229" i="40"/>
  <c r="AK228" i="40"/>
  <c r="S228" i="40"/>
  <c r="AK227" i="40"/>
  <c r="S227" i="40"/>
  <c r="AK226" i="40"/>
  <c r="S226" i="40"/>
  <c r="AK225" i="40"/>
  <c r="S225" i="40"/>
  <c r="AK224" i="40"/>
  <c r="S224" i="40"/>
  <c r="AK223" i="40"/>
  <c r="AK222" i="40"/>
  <c r="S222" i="40"/>
  <c r="AK221" i="40"/>
  <c r="S221" i="40"/>
  <c r="I221" i="40"/>
  <c r="O221" i="40" s="1"/>
  <c r="AK220" i="40"/>
  <c r="S220" i="40"/>
  <c r="I220" i="40"/>
  <c r="J220" i="40" s="1"/>
  <c r="L220" i="40" s="1"/>
  <c r="AK219" i="40"/>
  <c r="S219" i="40"/>
  <c r="I219" i="40"/>
  <c r="AK218" i="40"/>
  <c r="S218" i="40"/>
  <c r="I218" i="40"/>
  <c r="O218" i="40" s="1"/>
  <c r="AK217" i="40"/>
  <c r="S217" i="40"/>
  <c r="O217" i="40"/>
  <c r="L217" i="40"/>
  <c r="I217" i="40"/>
  <c r="J217" i="40" s="1"/>
  <c r="AK216" i="40"/>
  <c r="S216" i="40"/>
  <c r="I216" i="40"/>
  <c r="AK215" i="40"/>
  <c r="S215" i="40"/>
  <c r="I215" i="40"/>
  <c r="O215" i="40" s="1"/>
  <c r="AK214" i="40"/>
  <c r="S214" i="40"/>
  <c r="I214" i="40"/>
  <c r="J214" i="40" s="1"/>
  <c r="L214" i="40" s="1"/>
  <c r="AK213" i="40"/>
  <c r="S213" i="40"/>
  <c r="I213" i="40"/>
  <c r="AK212" i="40"/>
  <c r="S212" i="40"/>
  <c r="I212" i="40"/>
  <c r="O212" i="40" s="1"/>
  <c r="AK211" i="40"/>
  <c r="S211" i="40"/>
  <c r="I211" i="40"/>
  <c r="J211" i="40" s="1"/>
  <c r="L211" i="40" s="1"/>
  <c r="C211" i="40"/>
  <c r="C212" i="40" s="1"/>
  <c r="C213" i="40" s="1"/>
  <c r="C214" i="40" s="1"/>
  <c r="C215" i="40" s="1"/>
  <c r="C216" i="40" s="1"/>
  <c r="C217" i="40" s="1"/>
  <c r="C218" i="40" s="1"/>
  <c r="C219" i="40" s="1"/>
  <c r="C220" i="40" s="1"/>
  <c r="C221" i="40" s="1"/>
  <c r="B211" i="40"/>
  <c r="B212" i="40" s="1"/>
  <c r="B213" i="40" s="1"/>
  <c r="B214" i="40" s="1"/>
  <c r="B215" i="40" s="1"/>
  <c r="B216" i="40" s="1"/>
  <c r="B217" i="40" s="1"/>
  <c r="B218" i="40" s="1"/>
  <c r="B219" i="40" s="1"/>
  <c r="B220" i="40" s="1"/>
  <c r="B221" i="40" s="1"/>
  <c r="AK210" i="40"/>
  <c r="S210" i="40"/>
  <c r="I210" i="40"/>
  <c r="B210" i="40"/>
  <c r="AK209" i="40"/>
  <c r="S209" i="40"/>
  <c r="O209" i="40"/>
  <c r="I209" i="40"/>
  <c r="J209" i="40" s="1"/>
  <c r="L209" i="40" s="1"/>
  <c r="AK208" i="40"/>
  <c r="S208" i="40"/>
  <c r="O208" i="40"/>
  <c r="L208" i="40"/>
  <c r="J208" i="40"/>
  <c r="I208" i="40"/>
  <c r="AK207" i="40"/>
  <c r="S207" i="40"/>
  <c r="I207" i="40"/>
  <c r="J207" i="40" s="1"/>
  <c r="L207" i="40" s="1"/>
  <c r="C207" i="40"/>
  <c r="C208" i="40" s="1"/>
  <c r="C209" i="40" s="1"/>
  <c r="AK206" i="40"/>
  <c r="S206" i="40"/>
  <c r="I206" i="40"/>
  <c r="O206" i="40" s="1"/>
  <c r="AK205" i="40"/>
  <c r="S205" i="40"/>
  <c r="AK204" i="40"/>
  <c r="S204" i="40"/>
  <c r="I204" i="40"/>
  <c r="J204" i="40" s="1"/>
  <c r="L204" i="40" s="1"/>
  <c r="AK203" i="40"/>
  <c r="S203" i="40"/>
  <c r="I203" i="40"/>
  <c r="O203" i="40" s="1"/>
  <c r="C203" i="40"/>
  <c r="C204" i="40" s="1"/>
  <c r="AK202" i="40"/>
  <c r="S202" i="40"/>
  <c r="I202" i="40"/>
  <c r="O202" i="40" s="1"/>
  <c r="C202" i="40"/>
  <c r="AK201" i="40"/>
  <c r="S201" i="40"/>
  <c r="I201" i="40"/>
  <c r="J201" i="40" s="1"/>
  <c r="L201" i="40" s="1"/>
  <c r="B201" i="40"/>
  <c r="B202" i="40" s="1"/>
  <c r="B203" i="40" s="1"/>
  <c r="B204" i="40" s="1"/>
  <c r="B206" i="40" s="1"/>
  <c r="B207" i="40" s="1"/>
  <c r="B208" i="40" s="1"/>
  <c r="B209" i="40" s="1"/>
  <c r="AK200" i="40"/>
  <c r="S200" i="40"/>
  <c r="L200" i="40"/>
  <c r="I200" i="40"/>
  <c r="J200" i="40" s="1"/>
  <c r="C200" i="40"/>
  <c r="AK199" i="40"/>
  <c r="S199" i="40"/>
  <c r="I199" i="40"/>
  <c r="C199" i="40"/>
  <c r="AK198" i="40"/>
  <c r="S198" i="40"/>
  <c r="I198" i="40"/>
  <c r="O198" i="40" s="1"/>
  <c r="AK197" i="40"/>
  <c r="S197" i="40"/>
  <c r="O197" i="40"/>
  <c r="I197" i="40"/>
  <c r="J197" i="40" s="1"/>
  <c r="L197" i="40" s="1"/>
  <c r="C197" i="40"/>
  <c r="C198" i="40" s="1"/>
  <c r="B197" i="40"/>
  <c r="B198" i="40" s="1"/>
  <c r="B199" i="40" s="1"/>
  <c r="B200" i="40" s="1"/>
  <c r="AK196" i="40"/>
  <c r="S196" i="40"/>
  <c r="I196" i="40"/>
  <c r="B196" i="40"/>
  <c r="AK195" i="40"/>
  <c r="S195" i="40"/>
  <c r="I195" i="40"/>
  <c r="O195" i="40" s="1"/>
  <c r="C195" i="40"/>
  <c r="AK194" i="40"/>
  <c r="S194" i="40"/>
  <c r="O194" i="40"/>
  <c r="J194" i="40"/>
  <c r="L194" i="40" s="1"/>
  <c r="I194" i="40"/>
  <c r="B194" i="40"/>
  <c r="B195" i="40" s="1"/>
  <c r="AK193" i="40"/>
  <c r="S193" i="40"/>
  <c r="AK192" i="40"/>
  <c r="S192" i="40"/>
  <c r="I192" i="40"/>
  <c r="C192" i="40"/>
  <c r="B192" i="40"/>
  <c r="AK191" i="40"/>
  <c r="S191" i="40"/>
  <c r="I191" i="40"/>
  <c r="O191" i="40" s="1"/>
  <c r="B191" i="40"/>
  <c r="AK190" i="40"/>
  <c r="S190" i="40"/>
  <c r="O190" i="40"/>
  <c r="J190" i="40"/>
  <c r="L190" i="40" s="1"/>
  <c r="I190" i="40"/>
  <c r="AK189" i="40"/>
  <c r="S189" i="40"/>
  <c r="O189" i="40"/>
  <c r="J189" i="40"/>
  <c r="L189" i="40" s="1"/>
  <c r="I189" i="40"/>
  <c r="C189" i="40"/>
  <c r="C190" i="40" s="1"/>
  <c r="AK188" i="40"/>
  <c r="S188" i="40"/>
  <c r="I188" i="40"/>
  <c r="O188" i="40" s="1"/>
  <c r="B188" i="40"/>
  <c r="B189" i="40" s="1"/>
  <c r="B190" i="40" s="1"/>
  <c r="AK187" i="40"/>
  <c r="S187" i="40"/>
  <c r="I187" i="40"/>
  <c r="O187" i="40" s="1"/>
  <c r="AK186" i="40"/>
  <c r="S186" i="40"/>
  <c r="I186" i="40"/>
  <c r="J186" i="40" s="1"/>
  <c r="L186" i="40" s="1"/>
  <c r="AK185" i="40"/>
  <c r="S185" i="40"/>
  <c r="I185" i="40"/>
  <c r="O185" i="40" s="1"/>
  <c r="AK184" i="40"/>
  <c r="S184" i="40"/>
  <c r="I184" i="40"/>
  <c r="O184" i="40" s="1"/>
  <c r="AK183" i="40"/>
  <c r="S183" i="40"/>
  <c r="I183" i="40"/>
  <c r="J183" i="40" s="1"/>
  <c r="L183" i="40" s="1"/>
  <c r="AK182" i="40"/>
  <c r="S182" i="40"/>
  <c r="I182" i="40"/>
  <c r="O182" i="40" s="1"/>
  <c r="C182" i="40"/>
  <c r="C183" i="40" s="1"/>
  <c r="C184" i="40" s="1"/>
  <c r="C185" i="40" s="1"/>
  <c r="C186" i="40" s="1"/>
  <c r="C187" i="40" s="1"/>
  <c r="AK181" i="40"/>
  <c r="S181" i="40"/>
  <c r="I181" i="40"/>
  <c r="O181" i="40" s="1"/>
  <c r="C181" i="40"/>
  <c r="AK180" i="40"/>
  <c r="S180" i="40"/>
  <c r="J180" i="40"/>
  <c r="L180" i="40" s="1"/>
  <c r="I180" i="40"/>
  <c r="B180" i="40"/>
  <c r="B181" i="40" s="1"/>
  <c r="B182" i="40" s="1"/>
  <c r="B183" i="40" s="1"/>
  <c r="B184" i="40" s="1"/>
  <c r="B185" i="40" s="1"/>
  <c r="B186" i="40" s="1"/>
  <c r="B187" i="40" s="1"/>
  <c r="AK179" i="40"/>
  <c r="S179" i="40"/>
  <c r="AK178" i="40"/>
  <c r="S178" i="40"/>
  <c r="J178" i="40"/>
  <c r="L178" i="40" s="1"/>
  <c r="I178" i="40"/>
  <c r="O178" i="40" s="1"/>
  <c r="C178" i="40"/>
  <c r="AK177" i="40"/>
  <c r="S177" i="40"/>
  <c r="I177" i="40"/>
  <c r="O177" i="40" s="1"/>
  <c r="AK176" i="40"/>
  <c r="S176" i="40"/>
  <c r="L176" i="40"/>
  <c r="I176" i="40"/>
  <c r="J176" i="40" s="1"/>
  <c r="AK175" i="40"/>
  <c r="S175" i="40"/>
  <c r="I175" i="40"/>
  <c r="O175" i="40" s="1"/>
  <c r="C175" i="40"/>
  <c r="C176" i="40" s="1"/>
  <c r="C177" i="40" s="1"/>
  <c r="AK174" i="40"/>
  <c r="S174" i="40"/>
  <c r="I174" i="40"/>
  <c r="O174" i="40" s="1"/>
  <c r="AK173" i="40"/>
  <c r="S173" i="40"/>
  <c r="AK172" i="40"/>
  <c r="S172" i="40"/>
  <c r="AK171" i="40"/>
  <c r="S171" i="40"/>
  <c r="O171" i="40"/>
  <c r="J171" i="40"/>
  <c r="L171" i="40" s="1"/>
  <c r="I171" i="40"/>
  <c r="AK170" i="40"/>
  <c r="S170" i="40"/>
  <c r="O170" i="40"/>
  <c r="J170" i="40"/>
  <c r="L170" i="40" s="1"/>
  <c r="I170" i="40"/>
  <c r="AK169" i="40"/>
  <c r="S169" i="40"/>
  <c r="O169" i="40"/>
  <c r="I169" i="40"/>
  <c r="J169" i="40" s="1"/>
  <c r="L169" i="40" s="1"/>
  <c r="AK168" i="40"/>
  <c r="S168" i="40"/>
  <c r="I168" i="40"/>
  <c r="J168" i="40" s="1"/>
  <c r="L168" i="40" s="1"/>
  <c r="AK167" i="40"/>
  <c r="S167" i="40"/>
  <c r="O167" i="40"/>
  <c r="J167" i="40"/>
  <c r="L167" i="40" s="1"/>
  <c r="I167" i="40"/>
  <c r="AK166" i="40"/>
  <c r="S166" i="40"/>
  <c r="I166" i="40"/>
  <c r="J166" i="40" s="1"/>
  <c r="L166" i="40" s="1"/>
  <c r="AK165" i="40"/>
  <c r="S165" i="40"/>
  <c r="I165" i="40"/>
  <c r="O165" i="40" s="1"/>
  <c r="AK164" i="40"/>
  <c r="S164" i="40"/>
  <c r="O164" i="40"/>
  <c r="L164" i="40"/>
  <c r="J164" i="40"/>
  <c r="I164" i="40"/>
  <c r="C164" i="40"/>
  <c r="C165" i="40" s="1"/>
  <c r="C166" i="40" s="1"/>
  <c r="C167" i="40" s="1"/>
  <c r="C168" i="40" s="1"/>
  <c r="C169" i="40" s="1"/>
  <c r="C170" i="40" s="1"/>
  <c r="C171" i="40" s="1"/>
  <c r="AK163" i="40"/>
  <c r="S163" i="40"/>
  <c r="I163" i="40"/>
  <c r="J163" i="40" s="1"/>
  <c r="L163" i="40" s="1"/>
  <c r="AK162" i="40"/>
  <c r="S162" i="40"/>
  <c r="AK161" i="40"/>
  <c r="S161" i="40"/>
  <c r="AK160" i="40"/>
  <c r="S160" i="40"/>
  <c r="AK159" i="40"/>
  <c r="S159" i="40"/>
  <c r="AK158" i="40"/>
  <c r="S158" i="40"/>
  <c r="AK157" i="40"/>
  <c r="S157" i="40"/>
  <c r="O157" i="40"/>
  <c r="I157" i="40"/>
  <c r="J157" i="40" s="1"/>
  <c r="L157" i="40" s="1"/>
  <c r="C157" i="40"/>
  <c r="AK156" i="40"/>
  <c r="S156" i="40"/>
  <c r="J156" i="40"/>
  <c r="L156" i="40" s="1"/>
  <c r="I156" i="40"/>
  <c r="O156" i="40" s="1"/>
  <c r="AK155" i="40"/>
  <c r="S155" i="40"/>
  <c r="AK154" i="40"/>
  <c r="S154" i="40"/>
  <c r="O154" i="40"/>
  <c r="L154" i="40"/>
  <c r="J154" i="40"/>
  <c r="I154" i="40"/>
  <c r="C154" i="40"/>
  <c r="AK153" i="40"/>
  <c r="S153" i="40"/>
  <c r="O153" i="40"/>
  <c r="J153" i="40"/>
  <c r="L153" i="40" s="1"/>
  <c r="I153" i="40"/>
  <c r="AK152" i="40"/>
  <c r="S152" i="40"/>
  <c r="AK151" i="40"/>
  <c r="S151" i="40"/>
  <c r="O151" i="40"/>
  <c r="I151" i="40"/>
  <c r="J151" i="40" s="1"/>
  <c r="L151" i="40" s="1"/>
  <c r="AK150" i="40"/>
  <c r="S150" i="40"/>
  <c r="AK149" i="40"/>
  <c r="S149" i="40"/>
  <c r="I149" i="40"/>
  <c r="J149" i="40" s="1"/>
  <c r="L149" i="40" s="1"/>
  <c r="AK148" i="40"/>
  <c r="S148" i="40"/>
  <c r="I148" i="40"/>
  <c r="O148" i="40" s="1"/>
  <c r="AK147" i="40"/>
  <c r="S147" i="40"/>
  <c r="O147" i="40"/>
  <c r="L147" i="40"/>
  <c r="J147" i="40"/>
  <c r="I147" i="40"/>
  <c r="AK146" i="40"/>
  <c r="S146" i="40"/>
  <c r="I146" i="40"/>
  <c r="J146" i="40" s="1"/>
  <c r="L146" i="40" s="1"/>
  <c r="B146" i="40"/>
  <c r="B147" i="40" s="1"/>
  <c r="B148" i="40" s="1"/>
  <c r="B149" i="40" s="1"/>
  <c r="B151" i="40" s="1"/>
  <c r="B153" i="40" s="1"/>
  <c r="B154" i="40" s="1"/>
  <c r="B156" i="40" s="1"/>
  <c r="B157" i="40" s="1"/>
  <c r="B163" i="40" s="1"/>
  <c r="B164" i="40" s="1"/>
  <c r="B165" i="40" s="1"/>
  <c r="B166" i="40" s="1"/>
  <c r="B167" i="40" s="1"/>
  <c r="B168" i="40" s="1"/>
  <c r="B169" i="40" s="1"/>
  <c r="B170" i="40" s="1"/>
  <c r="B171" i="40" s="1"/>
  <c r="B174" i="40" s="1"/>
  <c r="B175" i="40" s="1"/>
  <c r="B176" i="40" s="1"/>
  <c r="B177" i="40" s="1"/>
  <c r="B178" i="40" s="1"/>
  <c r="AK145" i="40"/>
  <c r="S145" i="40"/>
  <c r="I145" i="40"/>
  <c r="O145" i="40" s="1"/>
  <c r="AK144" i="40"/>
  <c r="S144" i="40"/>
  <c r="O144" i="40"/>
  <c r="L144" i="40"/>
  <c r="J144" i="40"/>
  <c r="I144" i="40"/>
  <c r="B144" i="40"/>
  <c r="B145" i="40" s="1"/>
  <c r="AK143" i="40"/>
  <c r="S143" i="40"/>
  <c r="I143" i="40"/>
  <c r="J143" i="40" s="1"/>
  <c r="L143" i="40" s="1"/>
  <c r="AK142" i="40"/>
  <c r="S142" i="40"/>
  <c r="O142" i="40"/>
  <c r="J142" i="40"/>
  <c r="L142" i="40" s="1"/>
  <c r="I142" i="40"/>
  <c r="AK141" i="40"/>
  <c r="S141" i="40"/>
  <c r="O141" i="40"/>
  <c r="L141" i="40"/>
  <c r="J141" i="40"/>
  <c r="I141" i="40"/>
  <c r="AK140" i="40"/>
  <c r="S140" i="40"/>
  <c r="O140" i="40"/>
  <c r="I140" i="40"/>
  <c r="J140" i="40" s="1"/>
  <c r="L140" i="40" s="1"/>
  <c r="AK139" i="40"/>
  <c r="S139" i="40"/>
  <c r="O139" i="40"/>
  <c r="J139" i="40"/>
  <c r="L139" i="40" s="1"/>
  <c r="I139" i="40"/>
  <c r="AK138" i="40"/>
  <c r="S138" i="40"/>
  <c r="O138" i="40"/>
  <c r="J138" i="40"/>
  <c r="L138" i="40" s="1"/>
  <c r="I138" i="40"/>
  <c r="AK137" i="40"/>
  <c r="S137" i="40"/>
  <c r="I137" i="40"/>
  <c r="J137" i="40" s="1"/>
  <c r="L137" i="40" s="1"/>
  <c r="C137" i="40"/>
  <c r="C138" i="40" s="1"/>
  <c r="C139" i="40" s="1"/>
  <c r="C140" i="40" s="1"/>
  <c r="C141" i="40" s="1"/>
  <c r="C142" i="40" s="1"/>
  <c r="C143" i="40" s="1"/>
  <c r="C144" i="40" s="1"/>
  <c r="C145" i="40" s="1"/>
  <c r="C146" i="40" s="1"/>
  <c r="C147" i="40" s="1"/>
  <c r="C148" i="40" s="1"/>
  <c r="C149" i="40" s="1"/>
  <c r="AK136" i="40"/>
  <c r="S136" i="40"/>
  <c r="I136" i="40"/>
  <c r="O136" i="40" s="1"/>
  <c r="B136" i="40"/>
  <c r="B137" i="40" s="1"/>
  <c r="B138" i="40" s="1"/>
  <c r="B139" i="40" s="1"/>
  <c r="B140" i="40" s="1"/>
  <c r="B141" i="40" s="1"/>
  <c r="B142" i="40" s="1"/>
  <c r="B143" i="40" s="1"/>
  <c r="AK135" i="40"/>
  <c r="S135" i="40"/>
  <c r="I135" i="40"/>
  <c r="O135" i="40" s="1"/>
  <c r="AK134" i="40"/>
  <c r="S134" i="40"/>
  <c r="O134" i="40"/>
  <c r="I134" i="40"/>
  <c r="J134" i="40" s="1"/>
  <c r="L134" i="40" s="1"/>
  <c r="AK133" i="40"/>
  <c r="S133" i="40"/>
  <c r="J133" i="40"/>
  <c r="L133" i="40" s="1"/>
  <c r="I133" i="40"/>
  <c r="O133" i="40" s="1"/>
  <c r="C133" i="40"/>
  <c r="C134" i="40" s="1"/>
  <c r="C135" i="40" s="1"/>
  <c r="AK132" i="40"/>
  <c r="S132" i="40"/>
  <c r="O132" i="40"/>
  <c r="I132" i="40"/>
  <c r="J132" i="40" s="1"/>
  <c r="L132" i="40" s="1"/>
  <c r="AK131" i="40"/>
  <c r="S131" i="40"/>
  <c r="AK130" i="40"/>
  <c r="S130" i="40"/>
  <c r="I130" i="40"/>
  <c r="J130" i="40" s="1"/>
  <c r="L130" i="40" s="1"/>
  <c r="AK129" i="40"/>
  <c r="S129" i="40"/>
  <c r="J129" i="40"/>
  <c r="L129" i="40" s="1"/>
  <c r="I129" i="40"/>
  <c r="O129" i="40" s="1"/>
  <c r="AK128" i="40"/>
  <c r="S128" i="40"/>
  <c r="O128" i="40"/>
  <c r="J128" i="40"/>
  <c r="L128" i="40" s="1"/>
  <c r="I128" i="40"/>
  <c r="AK127" i="40"/>
  <c r="S127" i="40"/>
  <c r="I127" i="40"/>
  <c r="J127" i="40" s="1"/>
  <c r="L127" i="40" s="1"/>
  <c r="AK126" i="40"/>
  <c r="S126" i="40"/>
  <c r="O126" i="40"/>
  <c r="L126" i="40"/>
  <c r="J126" i="40"/>
  <c r="I126" i="40"/>
  <c r="C126" i="40"/>
  <c r="C127" i="40" s="1"/>
  <c r="C128" i="40" s="1"/>
  <c r="C129" i="40" s="1"/>
  <c r="C130" i="40" s="1"/>
  <c r="AK125" i="40"/>
  <c r="S125" i="40"/>
  <c r="O125" i="40"/>
  <c r="J125" i="40"/>
  <c r="L125" i="40" s="1"/>
  <c r="I125" i="40"/>
  <c r="AK124" i="40"/>
  <c r="S124" i="40"/>
  <c r="AK123" i="40"/>
  <c r="S123" i="40"/>
  <c r="I123" i="40"/>
  <c r="O123" i="40" s="1"/>
  <c r="AK122" i="40"/>
  <c r="S122" i="40"/>
  <c r="I122" i="40"/>
  <c r="O122" i="40" s="1"/>
  <c r="AK121" i="40"/>
  <c r="S121" i="40"/>
  <c r="L121" i="40"/>
  <c r="I121" i="40"/>
  <c r="J121" i="40" s="1"/>
  <c r="AK120" i="40"/>
  <c r="S120" i="40"/>
  <c r="I120" i="40"/>
  <c r="O120" i="40" s="1"/>
  <c r="AK119" i="40"/>
  <c r="S119" i="40"/>
  <c r="O119" i="40"/>
  <c r="J119" i="40"/>
  <c r="L119" i="40" s="1"/>
  <c r="I119" i="40"/>
  <c r="AK118" i="40"/>
  <c r="S118" i="40"/>
  <c r="I118" i="40"/>
  <c r="J118" i="40" s="1"/>
  <c r="L118" i="40" s="1"/>
  <c r="AK117" i="40"/>
  <c r="S117" i="40"/>
  <c r="I117" i="40"/>
  <c r="O117" i="40" s="1"/>
  <c r="AK116" i="40"/>
  <c r="S116" i="40"/>
  <c r="O116" i="40"/>
  <c r="L116" i="40"/>
  <c r="J116" i="40"/>
  <c r="I116" i="40"/>
  <c r="AK115" i="40"/>
  <c r="S115" i="40"/>
  <c r="O115" i="40"/>
  <c r="L115" i="40"/>
  <c r="I115" i="40"/>
  <c r="J115" i="40" s="1"/>
  <c r="AK114" i="40"/>
  <c r="S114" i="40"/>
  <c r="J114" i="40"/>
  <c r="L114" i="40" s="1"/>
  <c r="I114" i="40"/>
  <c r="O114" i="40" s="1"/>
  <c r="AK113" i="40"/>
  <c r="S113" i="40"/>
  <c r="O113" i="40"/>
  <c r="I113" i="40"/>
  <c r="J113" i="40" s="1"/>
  <c r="L113" i="40" s="1"/>
  <c r="AK112" i="40"/>
  <c r="S112" i="40"/>
  <c r="O112" i="40"/>
  <c r="L112" i="40"/>
  <c r="I112" i="40"/>
  <c r="J112" i="40" s="1"/>
  <c r="AK111" i="40"/>
  <c r="S111" i="40"/>
  <c r="I111" i="40"/>
  <c r="O111" i="40" s="1"/>
  <c r="AK110" i="40"/>
  <c r="S110" i="40"/>
  <c r="I110" i="40"/>
  <c r="O110" i="40" s="1"/>
  <c r="AK109" i="40"/>
  <c r="S109" i="40"/>
  <c r="I109" i="40"/>
  <c r="J109" i="40" s="1"/>
  <c r="L109" i="40" s="1"/>
  <c r="AK108" i="40"/>
  <c r="S108" i="40"/>
  <c r="I108" i="40"/>
  <c r="O108" i="40" s="1"/>
  <c r="AK107" i="40"/>
  <c r="S107" i="40"/>
  <c r="I107" i="40"/>
  <c r="O107" i="40" s="1"/>
  <c r="AK106" i="40"/>
  <c r="S106" i="40"/>
  <c r="I106" i="40"/>
  <c r="J106" i="40" s="1"/>
  <c r="L106" i="40" s="1"/>
  <c r="AK105" i="40"/>
  <c r="S105" i="40"/>
  <c r="J105" i="40"/>
  <c r="L105" i="40" s="1"/>
  <c r="I105" i="40"/>
  <c r="O105" i="40" s="1"/>
  <c r="AK104" i="40"/>
  <c r="S104" i="40"/>
  <c r="I104" i="40"/>
  <c r="O104" i="40" s="1"/>
  <c r="AK103" i="40"/>
  <c r="S103" i="40"/>
  <c r="I103" i="40"/>
  <c r="J103" i="40" s="1"/>
  <c r="L103" i="40" s="1"/>
  <c r="AK102" i="40"/>
  <c r="S102" i="40"/>
  <c r="J102" i="40"/>
  <c r="L102" i="40" s="1"/>
  <c r="I102" i="40"/>
  <c r="O102" i="40" s="1"/>
  <c r="AK101" i="40"/>
  <c r="S101" i="40"/>
  <c r="O101" i="40"/>
  <c r="J101" i="40"/>
  <c r="L101" i="40" s="1"/>
  <c r="I101" i="40"/>
  <c r="AK100" i="40"/>
  <c r="S100" i="40"/>
  <c r="I100" i="40"/>
  <c r="J100" i="40" s="1"/>
  <c r="L100" i="40" s="1"/>
  <c r="AK99" i="40"/>
  <c r="S99" i="40"/>
  <c r="I99" i="40"/>
  <c r="O99" i="40" s="1"/>
  <c r="C99" i="40"/>
  <c r="C100" i="40" s="1"/>
  <c r="C101" i="40" s="1"/>
  <c r="C102" i="40" s="1"/>
  <c r="C103" i="40" s="1"/>
  <c r="C104" i="40" s="1"/>
  <c r="C105" i="40" s="1"/>
  <c r="C106" i="40" s="1"/>
  <c r="C107" i="40" s="1"/>
  <c r="C108" i="40" s="1"/>
  <c r="C109" i="40" s="1"/>
  <c r="C110" i="40" s="1"/>
  <c r="C111" i="40" s="1"/>
  <c r="C112" i="40" s="1"/>
  <c r="C113" i="40" s="1"/>
  <c r="C114" i="40" s="1"/>
  <c r="C115" i="40" s="1"/>
  <c r="C116" i="40" s="1"/>
  <c r="C117" i="40" s="1"/>
  <c r="C118" i="40" s="1"/>
  <c r="C119" i="40" s="1"/>
  <c r="C120" i="40" s="1"/>
  <c r="C121" i="40" s="1"/>
  <c r="C122" i="40" s="1"/>
  <c r="C123" i="40" s="1"/>
  <c r="AK98" i="40"/>
  <c r="S98" i="40"/>
  <c r="O98" i="40"/>
  <c r="I98" i="40"/>
  <c r="J98" i="40" s="1"/>
  <c r="L98" i="40" s="1"/>
  <c r="C98" i="40"/>
  <c r="AK97" i="40"/>
  <c r="S97" i="40"/>
  <c r="O97" i="40"/>
  <c r="L97" i="40"/>
  <c r="I97" i="40"/>
  <c r="J97" i="40" s="1"/>
  <c r="AK96" i="40"/>
  <c r="S96" i="40"/>
  <c r="AK95" i="40"/>
  <c r="S95" i="40"/>
  <c r="J95" i="40"/>
  <c r="L95" i="40" s="1"/>
  <c r="I95" i="40"/>
  <c r="O95" i="40" s="1"/>
  <c r="AK94" i="40"/>
  <c r="S94" i="40"/>
  <c r="O94" i="40"/>
  <c r="J94" i="40"/>
  <c r="L94" i="40" s="1"/>
  <c r="I94" i="40"/>
  <c r="B94" i="40"/>
  <c r="B95" i="40" s="1"/>
  <c r="B97" i="40" s="1"/>
  <c r="B98" i="40" s="1"/>
  <c r="B99" i="40" s="1"/>
  <c r="B100" i="40" s="1"/>
  <c r="B101" i="40" s="1"/>
  <c r="AK93" i="40"/>
  <c r="S93" i="40"/>
  <c r="I93" i="40"/>
  <c r="O93" i="40" s="1"/>
  <c r="C93" i="40"/>
  <c r="C94" i="40" s="1"/>
  <c r="C95" i="40" s="1"/>
  <c r="B93" i="40"/>
  <c r="AK92" i="40"/>
  <c r="S92" i="40"/>
  <c r="I92" i="40"/>
  <c r="O92" i="40" s="1"/>
  <c r="C92" i="40"/>
  <c r="B92" i="40"/>
  <c r="AK91" i="40"/>
  <c r="S91" i="40"/>
  <c r="O91" i="40"/>
  <c r="L91" i="40"/>
  <c r="J91" i="40"/>
  <c r="I91" i="40"/>
  <c r="S90" i="40"/>
  <c r="S89" i="40"/>
  <c r="S88" i="40"/>
  <c r="S87" i="40"/>
  <c r="S86" i="40"/>
  <c r="S85" i="40"/>
  <c r="S84" i="40"/>
  <c r="S83" i="40"/>
  <c r="S82" i="40"/>
  <c r="AK81" i="40"/>
  <c r="S81" i="40"/>
  <c r="I81" i="40"/>
  <c r="O81" i="40" s="1"/>
  <c r="AK80" i="40"/>
  <c r="S80" i="40"/>
  <c r="I80" i="40"/>
  <c r="O80" i="40" s="1"/>
  <c r="AK79" i="40"/>
  <c r="S79" i="40"/>
  <c r="O79" i="40"/>
  <c r="J79" i="40"/>
  <c r="L79" i="40" s="1"/>
  <c r="I79" i="40"/>
  <c r="AK78" i="40"/>
  <c r="S78" i="40"/>
  <c r="O78" i="40"/>
  <c r="J78" i="40"/>
  <c r="L78" i="40" s="1"/>
  <c r="I78" i="40"/>
  <c r="AK77" i="40"/>
  <c r="S77" i="40"/>
  <c r="J77" i="40"/>
  <c r="L77" i="40" s="1"/>
  <c r="I77" i="40"/>
  <c r="O77" i="40" s="1"/>
  <c r="AK76" i="40"/>
  <c r="S76" i="40"/>
  <c r="I76" i="40"/>
  <c r="O76" i="40" s="1"/>
  <c r="AK75" i="40"/>
  <c r="S75" i="40"/>
  <c r="O75" i="40"/>
  <c r="L75" i="40"/>
  <c r="J75" i="40"/>
  <c r="I75" i="40"/>
  <c r="C75" i="40"/>
  <c r="C76" i="40" s="1"/>
  <c r="C77" i="40" s="1"/>
  <c r="C78" i="40" s="1"/>
  <c r="C79" i="40" s="1"/>
  <c r="C80" i="40" s="1"/>
  <c r="C81" i="40" s="1"/>
  <c r="AK74" i="40"/>
  <c r="S74" i="40"/>
  <c r="J74" i="40"/>
  <c r="L74" i="40" s="1"/>
  <c r="I74" i="40"/>
  <c r="O74" i="40" s="1"/>
  <c r="AK73" i="40"/>
  <c r="S73" i="40"/>
  <c r="AK72" i="40"/>
  <c r="S72" i="40"/>
  <c r="AK71" i="40"/>
  <c r="S71" i="40"/>
  <c r="O71" i="40"/>
  <c r="I71" i="40"/>
  <c r="J71" i="40" s="1"/>
  <c r="L71" i="40" s="1"/>
  <c r="AK70" i="40"/>
  <c r="S70" i="40"/>
  <c r="AK69" i="40"/>
  <c r="S69" i="40"/>
  <c r="I69" i="40"/>
  <c r="O69" i="40" s="1"/>
  <c r="AK68" i="40"/>
  <c r="S68" i="40"/>
  <c r="AK67" i="40"/>
  <c r="S67" i="40"/>
  <c r="AK66" i="40"/>
  <c r="S66" i="40"/>
  <c r="AK65" i="40"/>
  <c r="S65" i="40"/>
  <c r="AK64" i="40"/>
  <c r="S64" i="40"/>
  <c r="AK63" i="40"/>
  <c r="S63" i="40"/>
  <c r="AK62" i="40"/>
  <c r="S62" i="40"/>
  <c r="AK61" i="40"/>
  <c r="S61" i="40"/>
  <c r="AK60" i="40"/>
  <c r="S60" i="40"/>
  <c r="J60" i="40"/>
  <c r="L60" i="40" s="1"/>
  <c r="I60" i="40"/>
  <c r="O60" i="40" s="1"/>
  <c r="AK59" i="40"/>
  <c r="S59" i="40"/>
  <c r="O59" i="40"/>
  <c r="J59" i="40"/>
  <c r="L59" i="40" s="1"/>
  <c r="I59" i="40"/>
  <c r="AK58" i="40"/>
  <c r="S58" i="40"/>
  <c r="O58" i="40"/>
  <c r="I58" i="40"/>
  <c r="J58" i="40" s="1"/>
  <c r="L58" i="40" s="1"/>
  <c r="AK57" i="40"/>
  <c r="S57" i="40"/>
  <c r="I57" i="40"/>
  <c r="J57" i="40" s="1"/>
  <c r="L57" i="40" s="1"/>
  <c r="C57" i="40"/>
  <c r="C58" i="40" s="1"/>
  <c r="C59" i="40" s="1"/>
  <c r="C60" i="40" s="1"/>
  <c r="AK56" i="40"/>
  <c r="S56" i="40"/>
  <c r="I56" i="40"/>
  <c r="O56" i="40" s="1"/>
  <c r="AK55" i="40"/>
  <c r="S55" i="40"/>
  <c r="AK54" i="40"/>
  <c r="S54" i="40"/>
  <c r="AK53" i="40"/>
  <c r="S53" i="40"/>
  <c r="AK52" i="40"/>
  <c r="S52" i="40"/>
  <c r="O52" i="40"/>
  <c r="J52" i="40"/>
  <c r="L52" i="40" s="1"/>
  <c r="I52" i="40"/>
  <c r="AK51" i="40"/>
  <c r="S51" i="40"/>
  <c r="O51" i="40"/>
  <c r="I51" i="40"/>
  <c r="J51" i="40" s="1"/>
  <c r="L51" i="40" s="1"/>
  <c r="AK50" i="40"/>
  <c r="T50" i="40"/>
  <c r="S50" i="40"/>
  <c r="I50" i="40"/>
  <c r="O50" i="40" s="1"/>
  <c r="AK49" i="40"/>
  <c r="S49" i="40"/>
  <c r="O49" i="40"/>
  <c r="L49" i="40"/>
  <c r="J49" i="40"/>
  <c r="I49" i="40"/>
  <c r="AK48" i="40"/>
  <c r="S48" i="40"/>
  <c r="J48" i="40"/>
  <c r="L48" i="40" s="1"/>
  <c r="I48" i="40"/>
  <c r="O48" i="40" s="1"/>
  <c r="C48" i="40"/>
  <c r="C49" i="40" s="1"/>
  <c r="C50" i="40" s="1"/>
  <c r="C51" i="40" s="1"/>
  <c r="C52" i="40" s="1"/>
  <c r="AK47" i="40"/>
  <c r="S47" i="40"/>
  <c r="I47" i="40"/>
  <c r="O47" i="40" s="1"/>
  <c r="AK46" i="40"/>
  <c r="S46" i="40"/>
  <c r="AK45" i="40"/>
  <c r="AK44" i="40"/>
  <c r="S44" i="40"/>
  <c r="I44" i="40"/>
  <c r="O44" i="40" s="1"/>
  <c r="AK43" i="40"/>
  <c r="S43" i="40"/>
  <c r="I43" i="40"/>
  <c r="J43" i="40" s="1"/>
  <c r="L43" i="40" s="1"/>
  <c r="AK42" i="40"/>
  <c r="S42" i="40"/>
  <c r="O42" i="40"/>
  <c r="I42" i="40"/>
  <c r="J42" i="40" s="1"/>
  <c r="L42" i="40" s="1"/>
  <c r="B42" i="40"/>
  <c r="B43" i="40" s="1"/>
  <c r="B44" i="40" s="1"/>
  <c r="B47" i="40" s="1"/>
  <c r="B48" i="40" s="1"/>
  <c r="B49" i="40" s="1"/>
  <c r="B50" i="40" s="1"/>
  <c r="B51" i="40" s="1"/>
  <c r="B52" i="40" s="1"/>
  <c r="B56" i="40" s="1"/>
  <c r="B57" i="40" s="1"/>
  <c r="B58" i="40" s="1"/>
  <c r="B59" i="40" s="1"/>
  <c r="B60" i="40" s="1"/>
  <c r="B69" i="40" s="1"/>
  <c r="B71" i="40" s="1"/>
  <c r="B74" i="40" s="1"/>
  <c r="B75" i="40" s="1"/>
  <c r="B76" i="40" s="1"/>
  <c r="B77" i="40" s="1"/>
  <c r="B78" i="40" s="1"/>
  <c r="B79" i="40" s="1"/>
  <c r="B80" i="40" s="1"/>
  <c r="B81" i="40" s="1"/>
  <c r="AK41" i="40"/>
  <c r="S41" i="40"/>
  <c r="I41" i="40"/>
  <c r="O41" i="40" s="1"/>
  <c r="AK40" i="40"/>
  <c r="S40" i="40"/>
  <c r="I40" i="40"/>
  <c r="O40" i="40" s="1"/>
  <c r="AK39" i="40"/>
  <c r="S39" i="40"/>
  <c r="O39" i="40"/>
  <c r="I39" i="40"/>
  <c r="J39" i="40" s="1"/>
  <c r="L39" i="40" s="1"/>
  <c r="C39" i="40"/>
  <c r="C40" i="40" s="1"/>
  <c r="C41" i="40" s="1"/>
  <c r="C42" i="40" s="1"/>
  <c r="C43" i="40" s="1"/>
  <c r="C44" i="40" s="1"/>
  <c r="AK38" i="40"/>
  <c r="S38" i="40"/>
  <c r="I38" i="40"/>
  <c r="O38" i="40" s="1"/>
  <c r="C38" i="40"/>
  <c r="AK37" i="40"/>
  <c r="S37" i="40"/>
  <c r="I37" i="40"/>
  <c r="O37" i="40" s="1"/>
  <c r="C37" i="40"/>
  <c r="AK36" i="40"/>
  <c r="S36" i="40"/>
  <c r="O36" i="40"/>
  <c r="I36" i="40"/>
  <c r="J36" i="40" s="1"/>
  <c r="L36" i="40" s="1"/>
  <c r="AK35" i="40"/>
  <c r="S35" i="40"/>
  <c r="AK34" i="40"/>
  <c r="S34" i="40"/>
  <c r="J34" i="40"/>
  <c r="L34" i="40" s="1"/>
  <c r="I34" i="40"/>
  <c r="O34" i="40" s="1"/>
  <c r="C34" i="40"/>
  <c r="AK33" i="40"/>
  <c r="S33" i="40"/>
  <c r="O33" i="40"/>
  <c r="J33" i="40"/>
  <c r="L33" i="40" s="1"/>
  <c r="I33" i="40"/>
  <c r="AK32" i="40"/>
  <c r="S32" i="40"/>
  <c r="AK31" i="40"/>
  <c r="S31" i="40"/>
  <c r="J31" i="40"/>
  <c r="L31" i="40" s="1"/>
  <c r="I31" i="40"/>
  <c r="O31" i="40" s="1"/>
  <c r="C31" i="40"/>
  <c r="B31" i="40"/>
  <c r="B33" i="40" s="1"/>
  <c r="B34" i="40" s="1"/>
  <c r="B36" i="40" s="1"/>
  <c r="B37" i="40" s="1"/>
  <c r="B38" i="40" s="1"/>
  <c r="B39" i="40" s="1"/>
  <c r="B40" i="40" s="1"/>
  <c r="B41" i="40" s="1"/>
  <c r="AK30" i="40"/>
  <c r="S30" i="40"/>
  <c r="C30" i="40"/>
  <c r="AK29" i="40"/>
  <c r="S29" i="40"/>
  <c r="O29" i="40"/>
  <c r="I29" i="40"/>
  <c r="J29" i="40" s="1"/>
  <c r="L29" i="40" s="1"/>
  <c r="B29" i="40"/>
  <c r="AK28" i="40"/>
  <c r="S28" i="40"/>
  <c r="AK27" i="40"/>
  <c r="S27" i="40"/>
  <c r="I27" i="40"/>
  <c r="O27" i="40" s="1"/>
  <c r="B27" i="40"/>
  <c r="AK26" i="40"/>
  <c r="S26" i="40"/>
  <c r="O26" i="40"/>
  <c r="J26" i="40"/>
  <c r="L26" i="40" s="1"/>
  <c r="I26" i="40"/>
  <c r="AK25" i="40"/>
  <c r="S25" i="40"/>
  <c r="O25" i="40"/>
  <c r="I25" i="40"/>
  <c r="J25" i="40" s="1"/>
  <c r="L25" i="40" s="1"/>
  <c r="C25" i="40"/>
  <c r="C26" i="40" s="1"/>
  <c r="AK24" i="40"/>
  <c r="S24" i="40"/>
  <c r="J24" i="40"/>
  <c r="L24" i="40" s="1"/>
  <c r="I24" i="40"/>
  <c r="O24" i="40" s="1"/>
  <c r="AK23" i="40"/>
  <c r="S23" i="40"/>
  <c r="AK22" i="40"/>
  <c r="S22" i="40"/>
  <c r="AK21" i="40"/>
  <c r="S21" i="40"/>
  <c r="I21" i="40"/>
  <c r="O21" i="40" s="1"/>
  <c r="C21" i="40"/>
  <c r="AK20" i="40"/>
  <c r="S20" i="40"/>
  <c r="I20" i="40"/>
  <c r="O20" i="40" s="1"/>
  <c r="AK19" i="40"/>
  <c r="S19" i="40"/>
  <c r="AK18" i="40"/>
  <c r="S18" i="40"/>
  <c r="O18" i="40"/>
  <c r="I18" i="40"/>
  <c r="J18" i="40" s="1"/>
  <c r="L18" i="40" s="1"/>
  <c r="AK17" i="40"/>
  <c r="S17" i="40"/>
  <c r="J17" i="40"/>
  <c r="L17" i="40" s="1"/>
  <c r="I17" i="40"/>
  <c r="O17" i="40" s="1"/>
  <c r="C17" i="40"/>
  <c r="C18" i="40" s="1"/>
  <c r="AK16" i="40"/>
  <c r="S16" i="40"/>
  <c r="O16" i="40"/>
  <c r="J16" i="40"/>
  <c r="L16" i="40" s="1"/>
  <c r="I16" i="40"/>
  <c r="C16" i="40"/>
  <c r="AK15" i="40"/>
  <c r="S15" i="40"/>
  <c r="O15" i="40"/>
  <c r="I15" i="40"/>
  <c r="J15" i="40" s="1"/>
  <c r="L15" i="40" s="1"/>
  <c r="B15" i="40"/>
  <c r="B16" i="40" s="1"/>
  <c r="B17" i="40" s="1"/>
  <c r="B18" i="40" s="1"/>
  <c r="B20" i="40" s="1"/>
  <c r="B21" i="40" s="1"/>
  <c r="B24" i="40" s="1"/>
  <c r="B25" i="40" s="1"/>
  <c r="B26" i="40" s="1"/>
  <c r="AK14" i="40"/>
  <c r="AK13" i="40"/>
  <c r="AK12" i="40"/>
  <c r="AK11" i="40"/>
  <c r="AK10" i="40"/>
  <c r="AK9" i="40"/>
  <c r="AK8" i="40"/>
  <c r="AK7" i="40"/>
  <c r="AK6" i="40"/>
  <c r="AK5" i="40"/>
  <c r="AK4" i="40"/>
  <c r="AK3" i="40"/>
  <c r="AK2" i="40"/>
  <c r="S2" i="40"/>
  <c r="I2" i="40"/>
  <c r="J2" i="40" s="1"/>
  <c r="B2" i="40"/>
  <c r="B103" i="40" l="1"/>
  <c r="B104" i="40" s="1"/>
  <c r="B105" i="40" s="1"/>
  <c r="B106" i="40" s="1"/>
  <c r="B107" i="40" s="1"/>
  <c r="B108" i="40" s="1"/>
  <c r="B109" i="40" s="1"/>
  <c r="B110" i="40" s="1"/>
  <c r="B111" i="40" s="1"/>
  <c r="B112" i="40" s="1"/>
  <c r="B113" i="40" s="1"/>
  <c r="B114" i="40" s="1"/>
  <c r="B115" i="40" s="1"/>
  <c r="B116" i="40" s="1"/>
  <c r="B117" i="40" s="1"/>
  <c r="B118" i="40" s="1"/>
  <c r="B119" i="40" s="1"/>
  <c r="B120" i="40" s="1"/>
  <c r="B121" i="40" s="1"/>
  <c r="B122" i="40" s="1"/>
  <c r="B123" i="40" s="1"/>
  <c r="B125" i="40" s="1"/>
  <c r="B126" i="40" s="1"/>
  <c r="B127" i="40" s="1"/>
  <c r="B128" i="40" s="1"/>
  <c r="B129" i="40" s="1"/>
  <c r="B130" i="40" s="1"/>
  <c r="B132" i="40" s="1"/>
  <c r="B133" i="40" s="1"/>
  <c r="B134" i="40" s="1"/>
  <c r="B135" i="40" s="1"/>
  <c r="B102" i="40"/>
  <c r="L2" i="40"/>
  <c r="O43" i="40"/>
  <c r="O109" i="40"/>
  <c r="J111" i="40"/>
  <c r="L111" i="40" s="1"/>
  <c r="O168" i="40"/>
  <c r="O207" i="40"/>
  <c r="O211" i="40"/>
  <c r="J218" i="40"/>
  <c r="L218" i="40" s="1"/>
  <c r="O220" i="40"/>
  <c r="O260" i="40"/>
  <c r="O281" i="40"/>
  <c r="J281" i="40"/>
  <c r="L281" i="40" s="1"/>
  <c r="J27" i="40"/>
  <c r="L27" i="40" s="1"/>
  <c r="J47" i="40"/>
  <c r="L47" i="40" s="1"/>
  <c r="J50" i="40"/>
  <c r="L50" i="40" s="1"/>
  <c r="J69" i="40"/>
  <c r="L69" i="40" s="1"/>
  <c r="J76" i="40"/>
  <c r="L76" i="40" s="1"/>
  <c r="J92" i="40"/>
  <c r="L92" i="40" s="1"/>
  <c r="J104" i="40"/>
  <c r="L104" i="40" s="1"/>
  <c r="J117" i="40"/>
  <c r="L117" i="40" s="1"/>
  <c r="O127" i="40"/>
  <c r="J135" i="40"/>
  <c r="L135" i="40" s="1"/>
  <c r="J187" i="40"/>
  <c r="L187" i="40" s="1"/>
  <c r="J195" i="40"/>
  <c r="L195" i="40" s="1"/>
  <c r="J216" i="40"/>
  <c r="L216" i="40" s="1"/>
  <c r="O216" i="40"/>
  <c r="J174" i="40"/>
  <c r="L174" i="40" s="1"/>
  <c r="O199" i="40"/>
  <c r="J199" i="40"/>
  <c r="L199" i="40" s="1"/>
  <c r="J243" i="40"/>
  <c r="L243" i="40" s="1"/>
  <c r="O245" i="40"/>
  <c r="O263" i="40"/>
  <c r="J21" i="40"/>
  <c r="L21" i="40" s="1"/>
  <c r="J38" i="40"/>
  <c r="L38" i="40" s="1"/>
  <c r="J41" i="40"/>
  <c r="L41" i="40" s="1"/>
  <c r="J44" i="40"/>
  <c r="L44" i="40" s="1"/>
  <c r="J81" i="40"/>
  <c r="L81" i="40" s="1"/>
  <c r="J110" i="40"/>
  <c r="L110" i="40" s="1"/>
  <c r="O121" i="40"/>
  <c r="J123" i="40"/>
  <c r="L123" i="40" s="1"/>
  <c r="O146" i="40"/>
  <c r="J148" i="40"/>
  <c r="L148" i="40" s="1"/>
  <c r="O163" i="40"/>
  <c r="J165" i="40"/>
  <c r="L165" i="40" s="1"/>
  <c r="O176" i="40"/>
  <c r="J181" i="40"/>
  <c r="L181" i="40" s="1"/>
  <c r="J185" i="40"/>
  <c r="L185" i="40" s="1"/>
  <c r="J191" i="40"/>
  <c r="L191" i="40" s="1"/>
  <c r="O201" i="40"/>
  <c r="J203" i="40"/>
  <c r="L203" i="40" s="1"/>
  <c r="J212" i="40"/>
  <c r="L212" i="40" s="1"/>
  <c r="O214" i="40"/>
  <c r="J221" i="40"/>
  <c r="L221" i="40" s="1"/>
  <c r="I375" i="40"/>
  <c r="O106" i="40"/>
  <c r="J108" i="40"/>
  <c r="L108" i="40" s="1"/>
  <c r="O137" i="40"/>
  <c r="O183" i="40"/>
  <c r="J206" i="40"/>
  <c r="L206" i="40" s="1"/>
  <c r="J210" i="40"/>
  <c r="L210" i="40" s="1"/>
  <c r="O210" i="40"/>
  <c r="O248" i="40"/>
  <c r="J248" i="40"/>
  <c r="L248" i="40" s="1"/>
  <c r="O100" i="40"/>
  <c r="O2" i="40"/>
  <c r="J219" i="40"/>
  <c r="L219" i="40" s="1"/>
  <c r="O219" i="40"/>
  <c r="O196" i="40"/>
  <c r="J196" i="40"/>
  <c r="L196" i="40" s="1"/>
  <c r="J20" i="40"/>
  <c r="L20" i="40" s="1"/>
  <c r="J37" i="40"/>
  <c r="L37" i="40" s="1"/>
  <c r="J40" i="40"/>
  <c r="L40" i="40" s="1"/>
  <c r="J56" i="40"/>
  <c r="L56" i="40" s="1"/>
  <c r="J80" i="40"/>
  <c r="L80" i="40" s="1"/>
  <c r="J99" i="40"/>
  <c r="L99" i="40" s="1"/>
  <c r="J122" i="40"/>
  <c r="L122" i="40" s="1"/>
  <c r="O143" i="40"/>
  <c r="J177" i="40"/>
  <c r="L177" i="40" s="1"/>
  <c r="J188" i="40"/>
  <c r="L188" i="40" s="1"/>
  <c r="J198" i="40"/>
  <c r="L198" i="40" s="1"/>
  <c r="J215" i="40"/>
  <c r="L215" i="40" s="1"/>
  <c r="J93" i="40"/>
  <c r="L93" i="40" s="1"/>
  <c r="J107" i="40"/>
  <c r="L107" i="40" s="1"/>
  <c r="O118" i="40"/>
  <c r="J120" i="40"/>
  <c r="L120" i="40" s="1"/>
  <c r="J136" i="40"/>
  <c r="L136" i="40" s="1"/>
  <c r="J145" i="40"/>
  <c r="L145" i="40" s="1"/>
  <c r="J184" i="40"/>
  <c r="L184" i="40" s="1"/>
  <c r="J202" i="40"/>
  <c r="L202" i="40" s="1"/>
  <c r="J244" i="40"/>
  <c r="L244" i="40" s="1"/>
  <c r="O244" i="40"/>
  <c r="O103" i="40"/>
  <c r="J175" i="40"/>
  <c r="L175" i="40" s="1"/>
  <c r="O186" i="40"/>
  <c r="O204" i="40"/>
  <c r="J213" i="40"/>
  <c r="L213" i="40" s="1"/>
  <c r="O213" i="40"/>
  <c r="O130" i="40"/>
  <c r="O149" i="40"/>
  <c r="O166" i="40"/>
  <c r="J182" i="40"/>
  <c r="L182" i="40" s="1"/>
  <c r="O192" i="40"/>
  <c r="J192" i="40"/>
  <c r="L192" i="40" s="1"/>
  <c r="O247" i="40"/>
  <c r="B281" i="40"/>
  <c r="O284" i="40"/>
  <c r="O313" i="40"/>
  <c r="O361" i="40"/>
  <c r="J364" i="40"/>
  <c r="L364" i="40" s="1"/>
  <c r="J266" i="40"/>
  <c r="L266" i="40" s="1"/>
  <c r="J269" i="40"/>
  <c r="L269" i="40" s="1"/>
  <c r="J341" i="40"/>
  <c r="L341" i="40" s="1"/>
  <c r="J314" i="40"/>
  <c r="L314" i="40" s="1"/>
  <c r="J268" i="40"/>
  <c r="L268" i="40" s="1"/>
  <c r="J355" i="40"/>
  <c r="L355" i="40" s="1"/>
  <c r="J250" i="40"/>
  <c r="L250" i="40" s="1"/>
  <c r="J253" i="40"/>
  <c r="L253" i="40" s="1"/>
  <c r="J256" i="40"/>
  <c r="L256" i="40" s="1"/>
  <c r="J337" i="40"/>
  <c r="L337" i="40" s="1"/>
  <c r="J346" i="40"/>
  <c r="L346" i="40" s="1"/>
  <c r="D23" i="38"/>
  <c r="D22" i="38"/>
  <c r="D20" i="38"/>
  <c r="D19" i="38"/>
  <c r="D18" i="38"/>
  <c r="D17" i="38"/>
  <c r="D16" i="38"/>
  <c r="D14" i="38"/>
  <c r="D13" i="38"/>
  <c r="D11" i="38"/>
  <c r="D10" i="38"/>
  <c r="D8" i="38"/>
  <c r="D7" i="38"/>
  <c r="D6" i="38"/>
  <c r="D5" i="38"/>
  <c r="J375" i="40" l="1"/>
  <c r="O375" i="40"/>
  <c r="L375" i="40"/>
  <c r="O377" i="40" s="1"/>
  <c r="K23" i="38"/>
  <c r="I23" i="38"/>
  <c r="G23" i="38"/>
  <c r="F23" i="38"/>
  <c r="E23" i="38"/>
  <c r="C23" i="38"/>
  <c r="K16" i="37" l="1"/>
  <c r="I16" i="37"/>
  <c r="F16" i="37"/>
  <c r="J13" i="37"/>
  <c r="J16" i="37" s="1"/>
  <c r="G13" i="37"/>
  <c r="G12" i="37"/>
  <c r="G11" i="37"/>
  <c r="G10" i="37"/>
  <c r="G9" i="37"/>
  <c r="G8" i="37"/>
  <c r="G7" i="37"/>
  <c r="G6" i="37"/>
  <c r="G5" i="37"/>
  <c r="G16" i="37" s="1"/>
  <c r="G7" i="35" l="1"/>
  <c r="D7" i="35" s="1"/>
  <c r="D5" i="35"/>
  <c r="D88" i="33" l="1"/>
  <c r="C88" i="33"/>
  <c r="G44" i="33"/>
  <c r="C44" i="33"/>
  <c r="F42" i="33"/>
  <c r="E42" i="33"/>
  <c r="D42" i="33"/>
  <c r="H42" i="33" s="1"/>
  <c r="F41" i="33"/>
  <c r="E41" i="33"/>
  <c r="D41" i="33"/>
  <c r="H41" i="33" s="1"/>
  <c r="H40" i="33"/>
  <c r="F40" i="33"/>
  <c r="E40" i="33"/>
  <c r="D40" i="33"/>
  <c r="F39" i="33"/>
  <c r="E39" i="33"/>
  <c r="D39" i="33"/>
  <c r="H39" i="33" s="1"/>
  <c r="F38" i="33"/>
  <c r="E38" i="33"/>
  <c r="D38" i="33"/>
  <c r="H38" i="33" s="1"/>
  <c r="H37" i="33"/>
  <c r="F37" i="33"/>
  <c r="E37" i="33"/>
  <c r="D37" i="33"/>
  <c r="H36" i="33"/>
  <c r="F35" i="33"/>
  <c r="E35" i="33"/>
  <c r="D35" i="33"/>
  <c r="H35" i="33" s="1"/>
  <c r="F34" i="33"/>
  <c r="E34" i="33"/>
  <c r="H34" i="33" s="1"/>
  <c r="D34" i="33"/>
  <c r="F33" i="33"/>
  <c r="E33" i="33"/>
  <c r="D33" i="33"/>
  <c r="H33" i="33" s="1"/>
  <c r="F32" i="33"/>
  <c r="E32" i="33"/>
  <c r="D32" i="33"/>
  <c r="H32" i="33" s="1"/>
  <c r="F31" i="33"/>
  <c r="E31" i="33"/>
  <c r="H31" i="33" s="1"/>
  <c r="D31" i="33"/>
  <c r="F30" i="33"/>
  <c r="E30" i="33"/>
  <c r="D30" i="33"/>
  <c r="H30" i="33" s="1"/>
  <c r="F29" i="33"/>
  <c r="E29" i="33"/>
  <c r="D29" i="33"/>
  <c r="H29" i="33" s="1"/>
  <c r="F28" i="33"/>
  <c r="F44" i="33" s="1"/>
  <c r="E28" i="33"/>
  <c r="H28" i="33" s="1"/>
  <c r="D28" i="33"/>
  <c r="F27" i="33"/>
  <c r="E27" i="33"/>
  <c r="E44" i="33" s="1"/>
  <c r="D27" i="33"/>
  <c r="H27" i="33" s="1"/>
  <c r="D44" i="33" l="1"/>
  <c r="H44" i="33" s="1"/>
  <c r="I15" i="16" l="1"/>
  <c r="N26" i="16"/>
  <c r="I12" i="30" l="1"/>
  <c r="D6" i="30" l="1"/>
  <c r="F33" i="29" l="1"/>
  <c r="E33" i="29"/>
  <c r="D33" i="29"/>
  <c r="C33" i="29"/>
  <c r="I21" i="29"/>
  <c r="D7" i="29"/>
  <c r="I20" i="26" l="1"/>
  <c r="I14" i="26"/>
  <c r="I13" i="26"/>
  <c r="L7" i="26"/>
  <c r="K7" i="26"/>
  <c r="J7" i="26"/>
  <c r="I7" i="26"/>
  <c r="H7" i="26"/>
  <c r="G7" i="26"/>
  <c r="F7" i="26"/>
  <c r="E7" i="26"/>
  <c r="C7" i="26"/>
  <c r="D6" i="26"/>
  <c r="D5" i="26"/>
  <c r="D7" i="26" s="1"/>
  <c r="D7" i="24" l="1"/>
  <c r="E27" i="24"/>
  <c r="D27" i="24"/>
  <c r="I17" i="24"/>
  <c r="C26" i="24" s="1"/>
  <c r="I15" i="24"/>
  <c r="C24" i="24" s="1"/>
  <c r="I14" i="24"/>
  <c r="C23" i="24" s="1"/>
  <c r="I13" i="24"/>
  <c r="I18" i="24" l="1"/>
  <c r="C7" i="24" s="1"/>
  <c r="C22" i="24"/>
  <c r="C27" i="24" s="1"/>
  <c r="I13" i="14" l="1"/>
  <c r="I13" i="18"/>
  <c r="C6" i="20"/>
  <c r="I12" i="20"/>
  <c r="E27" i="22"/>
  <c r="C25" i="22"/>
  <c r="C24" i="22"/>
  <c r="C23" i="22"/>
  <c r="G18" i="22"/>
  <c r="I16" i="22"/>
  <c r="I15" i="22"/>
  <c r="I14" i="22"/>
  <c r="I13" i="22"/>
  <c r="C22" i="22" s="1"/>
  <c r="C27" i="22" s="1"/>
  <c r="D7" i="22"/>
  <c r="I18" i="22" l="1"/>
  <c r="C7" i="22" s="1"/>
  <c r="D6" i="20" l="1"/>
  <c r="I15" i="18" l="1"/>
  <c r="C7" i="18" s="1"/>
  <c r="D7" i="18"/>
  <c r="R26" i="16" l="1"/>
  <c r="C7" i="16"/>
  <c r="D7" i="16"/>
  <c r="D19" i="16" s="1"/>
  <c r="C19" i="16" l="1"/>
  <c r="I25" i="14" l="1"/>
  <c r="C8" i="14" s="1"/>
  <c r="F25" i="13" l="1"/>
  <c r="E25" i="13"/>
  <c r="D25" i="13"/>
  <c r="G17" i="13"/>
  <c r="I15" i="13"/>
  <c r="C23" i="13" s="1"/>
  <c r="I14" i="13"/>
  <c r="C22" i="13" s="1"/>
  <c r="I13" i="13"/>
  <c r="C21" i="13" s="1"/>
  <c r="D7" i="13"/>
  <c r="C25" i="13" l="1"/>
  <c r="I17" i="13"/>
  <c r="C7" i="13" s="1"/>
  <c r="I6" i="7" l="1"/>
  <c r="G6" i="7"/>
  <c r="F6" i="7"/>
  <c r="D6" i="7"/>
  <c r="D5" i="1" l="1"/>
  <c r="C19" i="4" l="1"/>
  <c r="F9" i="2"/>
  <c r="F8" i="2"/>
  <c r="F7" i="2"/>
  <c r="F6" i="2"/>
  <c r="F5" i="2"/>
  <c r="F4" i="2"/>
  <c r="F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7" authorId="0" shapeId="0" xr:uid="{3947D19C-1ACA-40E2-96FC-2C121488425E}">
      <text>
        <r>
          <rPr>
            <b/>
            <sz val="9"/>
            <color indexed="8"/>
            <rFont val="Tahoma"/>
            <family val="2"/>
            <charset val="238"/>
          </rPr>
          <t>OD 37 ZAPOSLENIH SO 3 ZAPOSLENI V KUHINJI</t>
        </r>
      </text>
    </comment>
    <comment ref="F21" authorId="0" shapeId="0" xr:uid="{7C337E1D-1A71-4A89-A345-C13A35CB57CC}">
      <text>
        <r>
          <rPr>
            <b/>
            <sz val="9"/>
            <color indexed="8"/>
            <rFont val="Tahoma"/>
            <family val="2"/>
            <charset val="238"/>
          </rPr>
          <t>KURILNO OLJE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Matej</author>
  </authors>
  <commentList>
    <comment ref="F19" authorId="0" shapeId="0" xr:uid="{74A593FD-1581-4F24-A300-E7BA6FF274E4}">
      <text>
        <r>
          <rPr>
            <b/>
            <sz val="9"/>
            <color indexed="81"/>
            <rFont val="Tahoma"/>
            <family val="2"/>
            <charset val="238"/>
          </rPr>
          <t>DRVA ZA KURJAVO</t>
        </r>
      </text>
    </comment>
    <comment ref="F20" authorId="0" shapeId="0" xr:uid="{6DBCE77A-9C29-4A53-8858-758AA48DEB7B}">
      <text>
        <r>
          <rPr>
            <b/>
            <sz val="9"/>
            <color indexed="81"/>
            <rFont val="Tahoma"/>
            <family val="2"/>
            <charset val="238"/>
          </rPr>
          <t>PLINSKO IN KURILNO OLJE</t>
        </r>
      </text>
    </comment>
  </commentList>
</comments>
</file>

<file path=xl/sharedStrings.xml><?xml version="1.0" encoding="utf-8"?>
<sst xmlns="http://schemas.openxmlformats.org/spreadsheetml/2006/main" count="6483" uniqueCount="2355">
  <si>
    <t>Zavod - LOKACIJA</t>
  </si>
  <si>
    <t>I.</t>
  </si>
  <si>
    <r>
      <t xml:space="preserve">          </t>
    </r>
    <r>
      <rPr>
        <b/>
        <sz val="11"/>
        <rFont val="Arial"/>
        <family val="2"/>
        <charset val="238"/>
      </rPr>
      <t xml:space="preserve">   II.  </t>
    </r>
    <r>
      <rPr>
        <sz val="11"/>
        <rFont val="Arial"/>
        <family val="2"/>
        <charset val="238"/>
      </rPr>
      <t xml:space="preserve">               </t>
    </r>
  </si>
  <si>
    <t>II.A</t>
  </si>
  <si>
    <t>II.B</t>
  </si>
  <si>
    <t>II.C</t>
  </si>
  <si>
    <t>II.Č</t>
  </si>
  <si>
    <t>II.D</t>
  </si>
  <si>
    <t>II.E</t>
  </si>
  <si>
    <t>II.F</t>
  </si>
  <si>
    <t>II. G</t>
  </si>
  <si>
    <t xml:space="preserve">Dogovorjena vrednost zgradbe </t>
  </si>
  <si>
    <r>
      <rPr>
        <b/>
        <sz val="11"/>
        <rFont val="Arial"/>
        <family val="2"/>
        <charset val="238"/>
      </rPr>
      <t xml:space="preserve">Oprema, stroji, aparati </t>
    </r>
    <r>
      <rPr>
        <b/>
        <u/>
        <sz val="11"/>
        <rFont val="Arial"/>
        <family val="2"/>
        <charset val="238"/>
      </rPr>
      <t xml:space="preserve">skupaj </t>
    </r>
    <r>
      <rPr>
        <sz val="11"/>
        <rFont val="Arial"/>
        <family val="2"/>
        <charset val="238"/>
      </rPr>
      <t>(vsebuje vrednosti od II.A do II.G)</t>
    </r>
  </si>
  <si>
    <t>Motorna vozila in samovozni delovni stroji</t>
  </si>
  <si>
    <t>Oprema,na kateri ni strojelomnega rizika (lesena oprema, ipd)</t>
  </si>
  <si>
    <r>
      <t xml:space="preserve">Stroji in aparati z stojelom. rizikom (npr. vse električne naprave </t>
    </r>
    <r>
      <rPr>
        <u/>
        <sz val="11"/>
        <rFont val="Arial"/>
        <family val="2"/>
        <charset val="238"/>
      </rPr>
      <t>razen računalnikov</t>
    </r>
    <r>
      <rPr>
        <sz val="11"/>
        <rFont val="Arial"/>
        <family val="2"/>
        <charset val="238"/>
      </rPr>
      <t>)</t>
    </r>
  </si>
  <si>
    <t>Oprema na prostem (igrala, oprema igrišč...)</t>
  </si>
  <si>
    <t>Stacionarni računalniki</t>
  </si>
  <si>
    <t>Prenosni računalniki</t>
  </si>
  <si>
    <t>Drobni inventar</t>
  </si>
  <si>
    <t>Umetnine, umetniška dela</t>
  </si>
  <si>
    <t>Št. vseh zaposlenih</t>
  </si>
  <si>
    <t>UPRAVNA STAVBA MONG, Trg E. Kardelja 1</t>
  </si>
  <si>
    <t>Spomenik pred občinsko stavbo</t>
  </si>
  <si>
    <t xml:space="preserve">8 bivalnih kontejnerjev, Sedejeva 9a, Nova Gorica </t>
  </si>
  <si>
    <t xml:space="preserve">Vila Bartolomei - zapori, Pod vinogradi BŠ, Solkan </t>
  </si>
  <si>
    <t>Humanitarni center, Bidovčeva ul. 2-4, 5000 Nova Gorica</t>
  </si>
  <si>
    <t>Grad Rihemberk v Braniku</t>
  </si>
  <si>
    <t>Banjšice 86, 5251 Grgar</t>
  </si>
  <si>
    <t>Bivša OŠ Srednji Lokovec, Lokovec NN, 5253 Čepovan</t>
  </si>
  <si>
    <t>Streliška pot 62, 5000 Nova Gorica</t>
  </si>
  <si>
    <t>Mejni prehod Erjavčeva, Erjavčeva 22, Nova Gorica</t>
  </si>
  <si>
    <t>Objekt EX mejni prehod Solkan</t>
  </si>
  <si>
    <t>Lokovec 80</t>
  </si>
  <si>
    <t>Prvačina 173</t>
  </si>
  <si>
    <t>Čepovan 66</t>
  </si>
  <si>
    <r>
      <t xml:space="preserve">DODATNE POŽARNE NEVARNOSTI - ZAVAROVALNE VSOTE: </t>
    </r>
    <r>
      <rPr>
        <b/>
        <sz val="11"/>
        <color theme="1"/>
        <rFont val="Calibri"/>
        <family val="2"/>
        <charset val="238"/>
        <scheme val="minor"/>
      </rPr>
      <t>POVSOD BREZ FRANŠIZE, REZEN PRI OBJESTNIH DEJANJIH, KJER ZNAŠA FIKSNA SOUDELEŽBA 100,00 EUR po škod. Primeru</t>
    </r>
  </si>
  <si>
    <t xml:space="preserve">DODATNE POŽARNE NEVARNOSTI (NA 1. RIZIKO) </t>
  </si>
  <si>
    <t xml:space="preserve">VLOM (na 1. riziko) </t>
  </si>
  <si>
    <t>VIŠJI STROŠKI POPRAVILA VLOM</t>
  </si>
  <si>
    <t>LOKACIJA - enota</t>
  </si>
  <si>
    <t>POPLAVA</t>
  </si>
  <si>
    <t>VDOR METEORNE VODE</t>
  </si>
  <si>
    <t>IZLIV VODE</t>
  </si>
  <si>
    <t>VLOM, ROP 1. R OPREMA</t>
  </si>
  <si>
    <t>VLOM, ROP GOTOVINE MED PRENOSOM IN PREVOZOM - 1. RIZIKO</t>
  </si>
  <si>
    <t>VLOM, ROP GOTOVINE V BLAGAJNI - 1. RIZIKO</t>
  </si>
  <si>
    <t>VLOM, ROP GOTOVINE MED MANIPULACIJO</t>
  </si>
  <si>
    <t>OBJEKT</t>
  </si>
  <si>
    <t xml:space="preserve">OPREMA </t>
  </si>
  <si>
    <t>ZAKLONIŠČA</t>
  </si>
  <si>
    <t>NASLOV ZAKLONIŠČA</t>
  </si>
  <si>
    <t>KAPACITETA OSEB</t>
  </si>
  <si>
    <t>KVADRATURA</t>
  </si>
  <si>
    <t>UPORABNIK / NAJEMNIK</t>
  </si>
  <si>
    <t>ZAV. VSOTA - osnovne nevarnosti</t>
  </si>
  <si>
    <t>Ul. Pinka Tomažiča 11, Pristava, Nova Gorica</t>
  </si>
  <si>
    <t>MONG</t>
  </si>
  <si>
    <t>Cankarjeva ul. 16, Nova Gorica</t>
  </si>
  <si>
    <t>CB Radioklub</t>
  </si>
  <si>
    <t>Ul. Za spomenikom 2A, 5250 Solkan</t>
  </si>
  <si>
    <t>Strelska zveza</t>
  </si>
  <si>
    <t>V. Vodopivca 32, Kromberk</t>
  </si>
  <si>
    <t>MONG - KS Kromberk</t>
  </si>
  <si>
    <t>Politehnika, Rožna dolina</t>
  </si>
  <si>
    <t>Vojkova ul. 59, Nova gorica</t>
  </si>
  <si>
    <t>OPREMA NA PROSTEM*</t>
  </si>
  <si>
    <t>NABAVNA VREDNOST - ZAV. VSOTA</t>
  </si>
  <si>
    <t>DODATNO POŽARNO ZAVAROVANJE POPLAVE NA OPREMI NA 1. RIZIKO, območje kritja je Slovenija</t>
  </si>
  <si>
    <t>1.</t>
  </si>
  <si>
    <t>ŠOTORI</t>
  </si>
  <si>
    <t>2.</t>
  </si>
  <si>
    <t>OPREMA ŠOTOROV</t>
  </si>
  <si>
    <t>3.</t>
  </si>
  <si>
    <t>ELEKTRO IN STROJNA OPREMA**</t>
  </si>
  <si>
    <t>** All risk zavarovanje: Točen seznam opreme bo ponudnik prejel naknadno - pred začetkom zavarovalnega kritja.</t>
  </si>
  <si>
    <t>ELEKTRO IN STROJNA OPREMA - RAZČLENITEV**</t>
  </si>
  <si>
    <t>Agregat</t>
  </si>
  <si>
    <t>Naprava za prečiščevanje vode</t>
  </si>
  <si>
    <t>UKV postaja</t>
  </si>
  <si>
    <t>GPS ročni in mobilni</t>
  </si>
  <si>
    <t>Črpalke</t>
  </si>
  <si>
    <t>3 kom defibrilatorji</t>
  </si>
  <si>
    <t>SKUPAJ</t>
  </si>
  <si>
    <t xml:space="preserve">UPRAVA MONG - AVTOBUSNA POSTAJALIŠČA </t>
  </si>
  <si>
    <t>Naziv</t>
  </si>
  <si>
    <t>Katasterska občina</t>
  </si>
  <si>
    <t>Parcela</t>
  </si>
  <si>
    <t>Zav. vsota požar</t>
  </si>
  <si>
    <t>Solkan obračališče</t>
  </si>
  <si>
    <t>Solkan</t>
  </si>
  <si>
    <t>876/10</t>
  </si>
  <si>
    <t>Nova Gorica Lavričeva - smer Šempeter</t>
  </si>
  <si>
    <t>Nova Gorica</t>
  </si>
  <si>
    <t>138/2</t>
  </si>
  <si>
    <t>Nova Gorica Lavričeva - smer Solkan</t>
  </si>
  <si>
    <t>Nova Gorica Cankarjeva - smer Šempeter</t>
  </si>
  <si>
    <t>511/3</t>
  </si>
  <si>
    <t>Nova Gorica Cankarjeva - smer Solkan</t>
  </si>
  <si>
    <t>1945/5</t>
  </si>
  <si>
    <t>Nova Gorica MAP - smer Šempeter</t>
  </si>
  <si>
    <t>1950/10</t>
  </si>
  <si>
    <t>Nova Gorica MAP - smer Solkan</t>
  </si>
  <si>
    <t>Nova Gorica Grčna - smer Šempeter</t>
  </si>
  <si>
    <t>1942/5</t>
  </si>
  <si>
    <t>Nova Gorica Grčna - smer Solkan</t>
  </si>
  <si>
    <t>1108/1</t>
  </si>
  <si>
    <t>Rožna Dolina meja - smer Solkan</t>
  </si>
  <si>
    <t>Rožna Dolina</t>
  </si>
  <si>
    <t>219/2</t>
  </si>
  <si>
    <t>Rožna Dolina - smer Solkan</t>
  </si>
  <si>
    <t>457/2</t>
  </si>
  <si>
    <t>Kromberk Poberaj - smer Nova Gorica</t>
  </si>
  <si>
    <t>Kromberk</t>
  </si>
  <si>
    <t>1283/5</t>
  </si>
  <si>
    <t>Kromberk cerkev - smer Nova Gorica</t>
  </si>
  <si>
    <t>256/15</t>
  </si>
  <si>
    <t>Loke obračališča</t>
  </si>
  <si>
    <t>1227/2</t>
  </si>
  <si>
    <t>OŠ Lokve, Lokve 30, 5252 Trnovo pri Gorici</t>
  </si>
  <si>
    <t>Bivši Daimond, Delpinova 20</t>
  </si>
  <si>
    <t>Število oseb: 1 zaposlen, 50 članov</t>
  </si>
  <si>
    <t>Mejni prehod Erjavčeva, Erjavčeva 53, Nova Gorica</t>
  </si>
  <si>
    <t>MONG UPRAVA NA DAN 31.12.2018</t>
  </si>
  <si>
    <t xml:space="preserve">Sabotin, 5250 Solkan: objekt 146,80 m2 na Sabotinu na parceli 1259/7 - okrepčevalnica </t>
  </si>
  <si>
    <t>Sabotin, 5250 Solkan: objekt 179,65 m2 na Sabotinu na parceli 1259/7 - koča</t>
  </si>
  <si>
    <t>Solkan, ob Soči, 5250 Solkan: Gradbeni objekt ob Soči pri bivšem črpališču, 15 m2, na parceli št. 5956/1</t>
  </si>
  <si>
    <t xml:space="preserve"> </t>
  </si>
  <si>
    <t>Solkan, ob Soči, 5250 Solkan: Gradbeni objekt ob Soči pri bivšem črpališču, 18 m2, na parceli št. 5956/1</t>
  </si>
  <si>
    <t>Solkan, ob Soči, 5250 Solkan: Gradbeni objekt ob Soči pri bivšem črpališču, 36,8 m2, na parceli št. 5956/1</t>
  </si>
  <si>
    <t>2 suha WC-ja na obračališču mestnega avtobusa v Solkanu s kompostnikoma</t>
  </si>
  <si>
    <t>Polnilnica za električna vozila na Kidričevi ulici</t>
  </si>
  <si>
    <t>OBJESTNA DEJANJA OBJEKT IN OPREMA (SOUDELEŽBA: FIKSNA 100,00 EUR)</t>
  </si>
  <si>
    <t>UDAREC NEZNANEGA VOZILA V OBJEKT IN OPREMO</t>
  </si>
  <si>
    <t>OŠ Lokve, Lokve 31, 5252 Trnovo pri Gorici</t>
  </si>
  <si>
    <t>Delpinova ul. 20, 5000 Nova Gorica</t>
  </si>
  <si>
    <t xml:space="preserve">VOZILA UPRAVE MONG </t>
  </si>
  <si>
    <t>Zap. Št.</t>
  </si>
  <si>
    <t>Reg. št.</t>
  </si>
  <si>
    <t>Skupina (osebno tovorno..)</t>
  </si>
  <si>
    <t>št. šasije</t>
  </si>
  <si>
    <t>Znamka, model</t>
  </si>
  <si>
    <t>KW</t>
  </si>
  <si>
    <t>CCM</t>
  </si>
  <si>
    <t>ŠT. REG.MEST</t>
  </si>
  <si>
    <t>NOSILNOST kg</t>
  </si>
  <si>
    <t>Nabavna vrednost Z DDV</t>
  </si>
  <si>
    <t>Letnik</t>
  </si>
  <si>
    <t>AO</t>
  </si>
  <si>
    <t>AO+</t>
  </si>
  <si>
    <t>AKA</t>
  </si>
  <si>
    <t>ODBITNA FRANŠIZA</t>
  </si>
  <si>
    <t>DELNI aka</t>
  </si>
  <si>
    <t>AVTO ASISTENCA</t>
  </si>
  <si>
    <t>NEZGODA</t>
  </si>
  <si>
    <t>GO 2920H</t>
  </si>
  <si>
    <t>OSEBNO</t>
  </si>
  <si>
    <t>SALLJGMM8EA560236</t>
  </si>
  <si>
    <t>ROVER /S</t>
  </si>
  <si>
    <t>DA</t>
  </si>
  <si>
    <t>NE</t>
  </si>
  <si>
    <t>GO DL571</t>
  </si>
  <si>
    <t>ZFA31200003892036</t>
  </si>
  <si>
    <t>FIAT PANDA 1,2 EASY</t>
  </si>
  <si>
    <t xml:space="preserve">parkirišče, stekla, svetlobna telesa, ogledala, nadomestno vozilo, divjad in domače živali </t>
  </si>
  <si>
    <t>GO DL572</t>
  </si>
  <si>
    <t>ZFA31200003892191</t>
  </si>
  <si>
    <t>GO KK878</t>
  </si>
  <si>
    <t>TMAJ381ADHJ418258</t>
  </si>
  <si>
    <t>HYUNDAI TUCSON 4WD 2.0 CRDI IMPRESSION</t>
  </si>
  <si>
    <t>GO NR750</t>
  </si>
  <si>
    <t>TMBAJZNE7D0035347</t>
  </si>
  <si>
    <t>ŠKODA OCTAVIA 2.0 TDI ELEGANCE</t>
  </si>
  <si>
    <t>GO RA 460</t>
  </si>
  <si>
    <t>TMBAD9NP7G7081180</t>
  </si>
  <si>
    <t>ŠKODA SUPERB 2,0 TSI L&amp;K DSG</t>
  </si>
  <si>
    <t>GO S9888</t>
  </si>
  <si>
    <t>TMBCA21Z662162778</t>
  </si>
  <si>
    <t>ŠKODA OCTAVIA 1.6 TDI AMBIENTE</t>
  </si>
  <si>
    <t>GO 3070R</t>
  </si>
  <si>
    <t>ZFA141A0001200472</t>
  </si>
  <si>
    <t>FIAT PANDA KAT.LIM 4x4 TREKKING</t>
  </si>
  <si>
    <t>GO 4197E</t>
  </si>
  <si>
    <t>VF1B57J0515560526</t>
  </si>
  <si>
    <t>RENAULT CLIO 1.4 RT</t>
  </si>
  <si>
    <t>GO DA235</t>
  </si>
  <si>
    <t>VF77J9HXC67617207</t>
  </si>
  <si>
    <t>CITROEN BERLINGO MULTISPACE 1,6 HDI</t>
  </si>
  <si>
    <t>GORIŠKA KNJIŽNICA FRANCETA BEVKA, Trg Edvarda Kardelja 4, 5000 Nova Gorica</t>
  </si>
  <si>
    <t>ŠT.</t>
  </si>
  <si>
    <t>Vrednost zgradbe skupaj</t>
  </si>
  <si>
    <t>Oprema na prostem (igrala, oprema igrišč)</t>
  </si>
  <si>
    <t xml:space="preserve"> Knjige, knjiž. gradivo</t>
  </si>
  <si>
    <t>Št. zaposlenih</t>
  </si>
  <si>
    <t>GORIŠKA KNJIŽNICA FRANCETA BEVKA</t>
  </si>
  <si>
    <t>ENOTA ŠEMPETER PRI GORICI</t>
  </si>
  <si>
    <t>ENOTA …......</t>
  </si>
  <si>
    <t>NEPREMIČNINE</t>
  </si>
  <si>
    <t>Lokacija</t>
  </si>
  <si>
    <t>LETO IZGRADNJE</t>
  </si>
  <si>
    <t>LETO MOREBITNE ADAPTACIJE</t>
  </si>
  <si>
    <t>OBSEG ADAPTACIJE (npr. menjava oken, strehe...)</t>
  </si>
  <si>
    <t>VRSTA GRADNJE  - npr. MASIVNA (beton, opeka…, ALI MONTAŽNA)</t>
  </si>
  <si>
    <t>ŠT. ETAŽ</t>
  </si>
  <si>
    <t>ZAVAROVALNA VSOTA</t>
  </si>
  <si>
    <t>TRG EDVARDA KARDELJA 4, NOVA GORICA</t>
  </si>
  <si>
    <r>
      <t xml:space="preserve">DODATNE POŽARNE NEVARNOSTI - ZAVAROVALNE VSOTE: </t>
    </r>
    <r>
      <rPr>
        <b/>
        <sz val="11"/>
        <color theme="1"/>
        <rFont val="Calibri"/>
        <family val="2"/>
        <charset val="238"/>
        <scheme val="minor"/>
      </rPr>
      <t xml:space="preserve">POVSOD BREZ FRANŠIZE </t>
    </r>
  </si>
  <si>
    <t xml:space="preserve">OBJESTNA DEJANJA OBJEKT IN OPREMA </t>
  </si>
  <si>
    <t xml:space="preserve">VLOM, ROP 1. R </t>
  </si>
  <si>
    <r>
      <t xml:space="preserve">OPREMA škoda </t>
    </r>
    <r>
      <rPr>
        <u/>
        <sz val="10"/>
        <color theme="1"/>
        <rFont val="Calibri"/>
        <family val="2"/>
        <charset val="238"/>
        <scheme val="minor"/>
      </rPr>
      <t>navadna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u/>
        <sz val="10"/>
        <color indexed="8"/>
        <rFont val="Calibri"/>
        <family val="2"/>
        <charset val="238"/>
      </rPr>
      <t>tatvina in pošk. obiskovalcev</t>
    </r>
  </si>
  <si>
    <t xml:space="preserve">VLOM, ROP GOTOVINE V ŽELEZNI BLAGAJNI </t>
  </si>
  <si>
    <t>VLOM, ROP GOTOVINE V MIZNEM PREDALU</t>
  </si>
  <si>
    <t xml:space="preserve"> VIŠJI STROŠKI POPRAVILA</t>
  </si>
  <si>
    <t>OPREMA*</t>
  </si>
  <si>
    <t xml:space="preserve">OPREMA* </t>
  </si>
  <si>
    <t>KNJIŽNICA NOVA GORICA</t>
  </si>
  <si>
    <t>ENOTA…..........</t>
  </si>
  <si>
    <t>*</t>
  </si>
  <si>
    <t>Knjige spadajo pod opremo - osnovna sredstva</t>
  </si>
  <si>
    <t>KNJIŽNICA VOZILA</t>
  </si>
  <si>
    <t>ZAČETEK ZAV. KRITJA</t>
  </si>
  <si>
    <t>PRAVNA ZAŠČITA</t>
  </si>
  <si>
    <t>GO ZZ331</t>
  </si>
  <si>
    <t>WFOJXXWPBJDC36214</t>
  </si>
  <si>
    <t>FORD C-MAX 1,6 TDCi Trend</t>
  </si>
  <si>
    <t>divjad in domače živali, parkirišče, steklo</t>
  </si>
  <si>
    <t>GO S6890</t>
  </si>
  <si>
    <t>specialno (bibliobus)</t>
  </si>
  <si>
    <t>VNESFR1170M000042</t>
  </si>
  <si>
    <t>IVECO /ARES</t>
  </si>
  <si>
    <t>divjad in domače živali, steklo, ogledala in svetlobna telesa</t>
  </si>
  <si>
    <t>GO FE087</t>
  </si>
  <si>
    <t>VR7ECYHZJJJ815775</t>
  </si>
  <si>
    <t>CITROEN BERLINGO</t>
  </si>
  <si>
    <t>Pri bibliobusu reg. št. GO S6890 se za nevarnosti splošnega kaska (požar in elementarne nesreče vključene) zavarujejo tudi knjige: 3.000 knjig po 24,00 EUR/kom = 72.000,00 EUR</t>
  </si>
  <si>
    <t>GASILSKA ENOTA NOVA GORICA</t>
  </si>
  <si>
    <t>Zavod - VSE LOKACIJE SKUPAJ</t>
  </si>
  <si>
    <r>
      <rPr>
        <b/>
        <sz val="11"/>
        <rFont val="Arial"/>
        <family val="2"/>
        <charset val="238"/>
      </rPr>
      <t xml:space="preserve">Oprema, stroji, aparati </t>
    </r>
    <r>
      <rPr>
        <b/>
        <u/>
        <sz val="11"/>
        <rFont val="Arial"/>
        <family val="2"/>
        <charset val="238"/>
      </rPr>
      <t xml:space="preserve">skupaj </t>
    </r>
    <r>
      <rPr>
        <sz val="11"/>
        <rFont val="Arial"/>
        <family val="2"/>
        <charset val="238"/>
      </rPr>
      <t>(vsebuje vrednosti od II.A do II.F)</t>
    </r>
  </si>
  <si>
    <t>GASILSKA ENOTA N.G.</t>
  </si>
  <si>
    <t>OBJESTNA DEJANJA OBJEKT (SOUDELEŽBA: FIKSNA 100,00 EUR)</t>
  </si>
  <si>
    <t>VOZILA GENG</t>
  </si>
  <si>
    <t>Nabavna vrednost BREZ DDV</t>
  </si>
  <si>
    <t>STROJELOM VOZILO + NADGRADNJA ZAV. VSOTA</t>
  </si>
  <si>
    <t>GO RH 739</t>
  </si>
  <si>
    <t>DELOVNO - SPECIALNO</t>
  </si>
  <si>
    <t>WDB9763741L929451</t>
  </si>
  <si>
    <t>MERCEDES BENZ ATEGO 15T EURO 5 1592 AF</t>
  </si>
  <si>
    <t xml:space="preserve">divjad in domače živali, steklo, svetlobna telesa in ogledala </t>
  </si>
  <si>
    <t>GO UU 759</t>
  </si>
  <si>
    <t>VF3YBPMPB12499517</t>
  </si>
  <si>
    <t>PEUGEOUT (F) BOXER KOMBIBUS DIESEL BOXER 333 L2H2 MINIBUS 3,0 HDI</t>
  </si>
  <si>
    <t>GO ZE 560</t>
  </si>
  <si>
    <t>TOVORNO</t>
  </si>
  <si>
    <t>VF7YCPMFB12322349</t>
  </si>
  <si>
    <t>CITROEN (F) JUMPER FURGON DIESEL JUMPER 35 L2H2 HDi 180</t>
  </si>
  <si>
    <t>GO UF 708</t>
  </si>
  <si>
    <t>SPECIALNO - MOTORNO</t>
  </si>
  <si>
    <t>VF77J9HZCAJ506576</t>
  </si>
  <si>
    <t>CITROEN BERLINGO III XTR</t>
  </si>
  <si>
    <t>GO 37 08D</t>
  </si>
  <si>
    <t>WV2ZZZ70ZSH038816</t>
  </si>
  <si>
    <t>VOLKSWAGEN TRANSPORTER 70B 1D2</t>
  </si>
  <si>
    <t>C517GO</t>
  </si>
  <si>
    <t>PRIKLOPNO VOZILO</t>
  </si>
  <si>
    <t>VY13002TPM0000132</t>
  </si>
  <si>
    <t>TPV OSEBNA TOVORNA 830</t>
  </si>
  <si>
    <t>ZX9150000E0KLF235</t>
  </si>
  <si>
    <t>LOK (SLO) AP AP 1500</t>
  </si>
  <si>
    <t>GO DA 373</t>
  </si>
  <si>
    <t>WDB9763741L329243</t>
  </si>
  <si>
    <t>GASILSKO VOZILO ATEGO 1529 AF-160 Z DVIGAL</t>
  </si>
  <si>
    <t>GO P1 613</t>
  </si>
  <si>
    <t>WDB9723721K872037</t>
  </si>
  <si>
    <t>MERCEDES 1828 ATEGO ŠAS L</t>
  </si>
  <si>
    <t>GO J8 929</t>
  </si>
  <si>
    <t>WDB9505051K986112</t>
  </si>
  <si>
    <t>MERCEDES 1828 AXOR ŠAS L</t>
  </si>
  <si>
    <t>GO K8 330</t>
  </si>
  <si>
    <t>WPATFS77H6H565410</t>
  </si>
  <si>
    <t>ISUZU D-Max Kza CREW 3,0 LS</t>
  </si>
  <si>
    <t>GO M9 737</t>
  </si>
  <si>
    <t>MPATFS85H7H568877</t>
  </si>
  <si>
    <t>ISUZU ISUZU D-MAX73.0/TDI D-MAX/3.0/TDI</t>
  </si>
  <si>
    <t>GO 280 3F</t>
  </si>
  <si>
    <t>WD84082151W-183135</t>
  </si>
  <si>
    <t>MERCEDES-UNIMOG Univerzalno vozilo U 100</t>
  </si>
  <si>
    <t>GO A7 194</t>
  </si>
  <si>
    <t>WDB9763731K538319</t>
  </si>
  <si>
    <t>MERCEDES 1528 ATEGO Šas AF</t>
  </si>
  <si>
    <t>GO 646 7R</t>
  </si>
  <si>
    <t>WDB9520031K752477</t>
  </si>
  <si>
    <t>MERCEDES 1835 ACTROS Šas L</t>
  </si>
  <si>
    <t>GO UU 411</t>
  </si>
  <si>
    <t>WDB9763741L623792</t>
  </si>
  <si>
    <t>MERCEDES-BENZ (D) ATEGO 15T EURO 5 1529 AF</t>
  </si>
  <si>
    <t>H001075010H000811</t>
  </si>
  <si>
    <t xml:space="preserve">LOK (SLO) </t>
  </si>
  <si>
    <t>GENG ZAVAROVANJE PLOVIL</t>
  </si>
  <si>
    <t>GENG PLOVILA</t>
  </si>
  <si>
    <t>KASKO ZAVAROVANJE</t>
  </si>
  <si>
    <t>ZAVAROVANJE ODGOVORNOSTI V POMORSKEM PROMETU</t>
  </si>
  <si>
    <t>Reg. označba</t>
  </si>
  <si>
    <t>Trup plovila z obvezno opremo (VRSTA ZNAMKA TIP)</t>
  </si>
  <si>
    <t>LETO IZDELAVE</t>
  </si>
  <si>
    <t>Najvišja hitrost</t>
  </si>
  <si>
    <t>Vrsta motorja</t>
  </si>
  <si>
    <t>Znamka</t>
  </si>
  <si>
    <t>Št. motorjev</t>
  </si>
  <si>
    <t>Moč v KW /KM</t>
  </si>
  <si>
    <t>Zav. vsota kasko zavarovanje*</t>
  </si>
  <si>
    <t>Odbitna franšiza</t>
  </si>
  <si>
    <t>Območje kritja zav. odgovornosti</t>
  </si>
  <si>
    <t>Razširitve kritja zav. odgovornosti</t>
  </si>
  <si>
    <t xml:space="preserve">Zav. vsota </t>
  </si>
  <si>
    <t>IZ-3911</t>
  </si>
  <si>
    <t>Motorno plovilo / WMT ALU- RIB 430</t>
  </si>
  <si>
    <t>25 NM/h</t>
  </si>
  <si>
    <t>zunanji (izvenkrmni)</t>
  </si>
  <si>
    <t>Tohatsu MD 40B2 EPTOL /1/ 2010</t>
  </si>
  <si>
    <t>29,4 / 39,98</t>
  </si>
  <si>
    <t>2% od zav. vsote, min. 170,00 EUR, max 1.670,00 EUR</t>
  </si>
  <si>
    <t xml:space="preserve">Zav. odgovornosti v Sloveniji, Italiji, Hrvaški </t>
  </si>
  <si>
    <t>Škoda ko je plovilo dano v najem ali drugo komercilano rabo, Razširitev teritorailnih meja plovbe na celinsko plovbo - območje Evrope, vključeno zav. odgovornosti do potnikov, zav. odgovornosti zaradi onesnaženja.</t>
  </si>
  <si>
    <t>6.500.000,00 (vključuje odgovornost do potnikov in škodo na stvareh)</t>
  </si>
  <si>
    <t>ELAN PASARA T401 L</t>
  </si>
  <si>
    <t>15Nm/h</t>
  </si>
  <si>
    <t>izven krmni</t>
  </si>
  <si>
    <t>Yamaha 20 DWOS</t>
  </si>
  <si>
    <t>14,7 / 19,99</t>
  </si>
  <si>
    <t>*Kasko kritje vsebuje najmanj:</t>
  </si>
  <si>
    <t>Škodo zaradi popolne izgube ali prepustitve ter škode zaradi delne izgube ali poškodbe zavarovanega plovila povzročene zaradi:</t>
  </si>
  <si>
    <t>Trčenja s plavajočim ali fiksnim predmetom; padca ali udarca predmeta; dotika dna; nasedanja; potopitve; viharja; neurja; toče; požara; eksplozije; direktnega udara strele;</t>
  </si>
  <si>
    <t xml:space="preserve"> tatvine celeg plovila ali delov plovila; ropa; piratstva; zlonamernih dejanj tretjih oseb in vandalizma.</t>
  </si>
  <si>
    <t>Zavarovalno kritje zajema še z zgoraj navedenimi riziki povezane reševalne stroške, stroške ugotavljanja in likvidacije škode ter nagrade za reševanje.</t>
  </si>
  <si>
    <t>Razširitev meja plovbe na celinsko plovbo</t>
  </si>
  <si>
    <t>Stroške dviganja potopljenega plovila</t>
  </si>
  <si>
    <t>Zavarovanje v času prevozov po kopnem</t>
  </si>
  <si>
    <t>Škodo ki nastane med izvačenjem ali splavitvijo</t>
  </si>
  <si>
    <t>Dodatna oprema vključena v zav, vsoto: VHF postaja, sirenski ojačevalec, modre bliskavice 2 kom, iskalni reflektor</t>
  </si>
  <si>
    <t>Kos</t>
  </si>
  <si>
    <t>Slika</t>
  </si>
  <si>
    <t>Nabavna cena z DDV za kos</t>
  </si>
  <si>
    <t xml:space="preserve">POLNILNA LINIJA ZA ZRAK </t>
  </si>
  <si>
    <t>Bauer Poseidon</t>
  </si>
  <si>
    <t>Tip PCB250</t>
  </si>
  <si>
    <t>S.N. D1383/04</t>
  </si>
  <si>
    <t>Leto 2003</t>
  </si>
  <si>
    <t>KOMPRESOR ZA ZRAK IDA</t>
  </si>
  <si>
    <t>N.D.1383/04</t>
  </si>
  <si>
    <t>4.</t>
  </si>
  <si>
    <t>NAPRAVA ZA TESTIRANJE MASK</t>
  </si>
  <si>
    <t>Smartchec</t>
  </si>
  <si>
    <t>S.N. 1304</t>
  </si>
  <si>
    <t>GENG SEZNAM DRUEGE NEPREMIČNE OPREME, ZA ALL RISK ZAVAROVANJE ZAVAROVANJE ZA LETO 2019</t>
  </si>
  <si>
    <t>OŠ BRANIK</t>
  </si>
  <si>
    <t>Na dan 31.12.2017</t>
  </si>
  <si>
    <r>
      <rPr>
        <sz val="11"/>
        <rFont val="Arial"/>
        <family val="2"/>
        <charset val="238"/>
      </rPr>
      <t xml:space="preserve">          </t>
    </r>
    <r>
      <rPr>
        <b/>
        <sz val="11"/>
        <rFont val="Arial"/>
        <family val="2"/>
        <charset val="238"/>
      </rPr>
      <t xml:space="preserve">   II.  </t>
    </r>
    <r>
      <rPr>
        <sz val="11"/>
        <rFont val="Arial"/>
        <family val="2"/>
        <charset val="238"/>
      </rPr>
      <t xml:space="preserve">               </t>
    </r>
  </si>
  <si>
    <t>ZAVOD</t>
  </si>
  <si>
    <t>Vrednost zgradbe skupaj                                                   -     igrišče</t>
  </si>
  <si>
    <r>
      <rPr>
        <sz val="11"/>
        <rFont val="Arial"/>
        <family val="2"/>
        <charset val="238"/>
      </rPr>
      <t xml:space="preserve">Stroji in aparati z stojelom. rizikom (npr. vse električne naprave </t>
    </r>
    <r>
      <rPr>
        <u/>
        <sz val="11"/>
        <rFont val="Arial"/>
        <family val="2"/>
        <charset val="238"/>
      </rPr>
      <t>razen računalnikov</t>
    </r>
    <r>
      <rPr>
        <sz val="11"/>
        <rFont val="Arial"/>
        <family val="2"/>
        <charset val="238"/>
      </rPr>
      <t>)</t>
    </r>
  </si>
  <si>
    <t>(vnesejo šole in kjižnica:) Knjige, knjiž. gradivo</t>
  </si>
  <si>
    <t>LOKACIJA NEPREMIČNINE (točen naslov in oznaka npr. glavna stavba, novi del, prizidek….)</t>
  </si>
  <si>
    <t>Branik 31,5295 Branik - ŠOLA</t>
  </si>
  <si>
    <t>1976,1994,2001</t>
  </si>
  <si>
    <t>adapt,priz.+okna,priz.9-letka</t>
  </si>
  <si>
    <t>beton,opeka,les</t>
  </si>
  <si>
    <t>Branik 31,5295 Branik - VRTEC + KUHINJA</t>
  </si>
  <si>
    <t>obnova,stopnice</t>
  </si>
  <si>
    <t>Branik 31,5295 Branik - TELOVADNICA</t>
  </si>
  <si>
    <t>zam.streš.kritine</t>
  </si>
  <si>
    <t>beton,opeka,</t>
  </si>
  <si>
    <t>OGRAJA (ZUNANJA)</t>
  </si>
  <si>
    <t>RAZČLENITEV VREDNOSTI PO LOKACIJAH</t>
  </si>
  <si>
    <t>Enota - lokacija</t>
  </si>
  <si>
    <t>VREDNOST ZGRADBE</t>
  </si>
  <si>
    <t xml:space="preserve">VREDNOST OPREME (BREZ VOZIL IN OPREME NA PROSTEM) </t>
  </si>
  <si>
    <t>VREDNOST OPREME NA PROSTEM</t>
  </si>
  <si>
    <t>VREDNOST ZALOG</t>
  </si>
  <si>
    <t xml:space="preserve"> ŠOLA</t>
  </si>
  <si>
    <t>VRTEC+KUH</t>
  </si>
  <si>
    <t>TELOVAD.</t>
  </si>
  <si>
    <t>LOKACIJA</t>
  </si>
  <si>
    <t>VDOR METEORNE VODE IZ STREHE</t>
  </si>
  <si>
    <t xml:space="preserve"> ZEMELJSKI PLAZ </t>
  </si>
  <si>
    <t>VIŠJI STROŠKI ČIŠČENJA</t>
  </si>
  <si>
    <t>UDAREC NEZNANEGA VOZILA  V ZGRADBO</t>
  </si>
  <si>
    <t>INDIREKTNI UDAR STRELE</t>
  </si>
  <si>
    <t>LEKAŽA</t>
  </si>
  <si>
    <t xml:space="preserve">VLOM, ROP OPREMA </t>
  </si>
  <si>
    <t>VLOM, ROP GOTOVINE V ČASU MANIPULACIJE</t>
  </si>
  <si>
    <t>VLOM, ROP ZALOGE</t>
  </si>
  <si>
    <t>VIŠJI STROŠKI POPRAVLA VLOM</t>
  </si>
  <si>
    <t>GRADBENI OBJEKTI</t>
  </si>
  <si>
    <t>OPREMA</t>
  </si>
  <si>
    <t>ZALOGE</t>
  </si>
  <si>
    <t xml:space="preserve"> ŠOLA, TELOVADNICA, VRTEC</t>
  </si>
  <si>
    <t xml:space="preserve">OŠ Frana Erjavca Nova Gorica, Kidričeva ulica 36, 5000 Nova Gorica  </t>
  </si>
  <si>
    <t>OŠ FRANA ERJAVCA</t>
  </si>
  <si>
    <t>ZAV. VSOTA</t>
  </si>
  <si>
    <t>GLAVNA STAVBA</t>
  </si>
  <si>
    <t>delno stavbno pohištvo, streha v celoti, 2014</t>
  </si>
  <si>
    <t>masivna</t>
  </si>
  <si>
    <t>PLINIFIKACIJA</t>
  </si>
  <si>
    <t>OGRAJA DVORIŠČA</t>
  </si>
  <si>
    <t>ČEBELNJAK</t>
  </si>
  <si>
    <t>PRIZIDEK TRIADA</t>
  </si>
  <si>
    <t>OBNOVA STROPA IN STEN AVLA</t>
  </si>
  <si>
    <t xml:space="preserve">OBNOVA GARDEROBE </t>
  </si>
  <si>
    <t>OBNOVA OGRAJE</t>
  </si>
  <si>
    <t xml:space="preserve">OBNOVA SANITARIJ,TLAKOV,J.FASADE </t>
  </si>
  <si>
    <t>OBNOVA OGRAJE na stopniščih</t>
  </si>
  <si>
    <t>REKONS.GL. VHOD</t>
  </si>
  <si>
    <t>OBNOVA PARKETA, pritličje, razredna stopnja</t>
  </si>
  <si>
    <t>SKUPAJ ZAV. VSOTA:</t>
  </si>
  <si>
    <t>OŠ FRANA ERJAVCA VOZILA</t>
  </si>
  <si>
    <t>GO 3301A</t>
  </si>
  <si>
    <t>VF1T2WF0513520472</t>
  </si>
  <si>
    <t>RENAULT TRAFIC T DISESEL T 2BF Kombibus</t>
  </si>
  <si>
    <t>OŠ ČEPOVAN</t>
  </si>
  <si>
    <t>Podatki na dan 31.12.2018</t>
  </si>
  <si>
    <t>OSNOVNA ŠOLA ČEPOVAN, Čepovan 87, 5253 Čepovan</t>
  </si>
  <si>
    <t>OPEKA</t>
  </si>
  <si>
    <t>.</t>
  </si>
  <si>
    <t>GRADNJA PRIZIDKA</t>
  </si>
  <si>
    <t>BETON</t>
  </si>
  <si>
    <t>ŽLED NA 1. RIZIKO</t>
  </si>
  <si>
    <t xml:space="preserve">OBJESTNA DEJANJA OBJEKT </t>
  </si>
  <si>
    <t>ŽLED</t>
  </si>
  <si>
    <t>SNEG</t>
  </si>
  <si>
    <t>OŠ ČEPOVAN - VOZILA</t>
  </si>
  <si>
    <t>GOK6015</t>
  </si>
  <si>
    <t>AVTOBUS</t>
  </si>
  <si>
    <t>ZCFC50C0005593503</t>
  </si>
  <si>
    <t xml:space="preserve">IVECO DAILY </t>
  </si>
  <si>
    <t>divjad in domače živali, steklo</t>
  </si>
  <si>
    <t>OŠ ŠEMPAS</t>
  </si>
  <si>
    <t xml:space="preserve">Vrednost zgradbe skupaj                                                   </t>
  </si>
  <si>
    <t>OŠ ŠEMPAS Z VRTCEM</t>
  </si>
  <si>
    <t>OŠ ŠEMPAS, ŠEMPAS 76C, 5261 ŠEMPAS</t>
  </si>
  <si>
    <t>1995; 2006</t>
  </si>
  <si>
    <t>OKNA, STREHA</t>
  </si>
  <si>
    <t>ARMIRAN BETON</t>
  </si>
  <si>
    <t>VRTEC, ŠEMPAS 76C, 5261 ŠEMPAS</t>
  </si>
  <si>
    <t>CELOSTNA OBNOVA, DOZIDAVA</t>
  </si>
  <si>
    <t>BETON, OPEKA</t>
  </si>
  <si>
    <t>VREDNOST ZALOG na dan 31.12.2018</t>
  </si>
  <si>
    <t>ŠOLA IN VRTEC</t>
  </si>
  <si>
    <t>OBJESTNA DEJANJA OBJEKT</t>
  </si>
  <si>
    <t>ŠOLA Z VRTCEM</t>
  </si>
  <si>
    <t>OŠ ŠEMPAS - VOZILA</t>
  </si>
  <si>
    <t>GON3607</t>
  </si>
  <si>
    <t>VF35FKFXE60230701</t>
  </si>
  <si>
    <t>PEUGEOT, PARTNER 1,4</t>
  </si>
  <si>
    <t>/</t>
  </si>
  <si>
    <t>GOF6573</t>
  </si>
  <si>
    <t>WPOMXXGCDM6U84275</t>
  </si>
  <si>
    <t>FORD, FOCUS C-MAX LIM 1,6 TREND</t>
  </si>
  <si>
    <t>divjad in domače živali, steklo, parkirišče</t>
  </si>
  <si>
    <t>GOKL808</t>
  </si>
  <si>
    <t>WF01XXTTG1DG37500</t>
  </si>
  <si>
    <t>FORD, TRANSIT KOMBI 310 2,2 TDCi TREND</t>
  </si>
  <si>
    <t>OŠ KOZARA NOVA GORICA, Kidričeva ulica 35, 5000 Nova Gorica</t>
  </si>
  <si>
    <t>OŠ KOZARA NOVA GORICA</t>
  </si>
  <si>
    <t>KIDRIČEVA 35, NOVA GORICA,GLAVNA STAVBA</t>
  </si>
  <si>
    <t>beton</t>
  </si>
  <si>
    <t>OŠ KOZARA</t>
  </si>
  <si>
    <t>OŠ KOZARA VOZILA</t>
  </si>
  <si>
    <t>GO KR 603</t>
  </si>
  <si>
    <t>VO40300405245</t>
  </si>
  <si>
    <t>CITROEN JUMPER KOMBIBUS DISESEL ATTRACTION 33 L2H2 Hdi 130</t>
  </si>
  <si>
    <t>divjad in domače živali, razbitje stekla, škoda na parkirišču</t>
  </si>
  <si>
    <t>OŠ DORNBERK</t>
  </si>
  <si>
    <t>OŠ DORNBERK (matična šola), Gregorčičeva ulica 30A, 5294 Dornberk</t>
  </si>
  <si>
    <t>1995, 1997, 2002, 2008</t>
  </si>
  <si>
    <t xml:space="preserve">menjava oken, prenova kuhinje, sanacija strehe brez telovadnice, </t>
  </si>
  <si>
    <t>betonska</t>
  </si>
  <si>
    <t>PODRUŽNIČNA ŠOLA PRVAČINA, Prvačina 204, 5297 Prvačina</t>
  </si>
  <si>
    <t>zamenjava lesene etažne konstrukcije, zamenjava oken, preureditev učilnic, sanitarij in jedilnice</t>
  </si>
  <si>
    <t>opeka, kamen</t>
  </si>
  <si>
    <t>VRTEC DORNBERK, Gregorčičeva ulica 30A, 5294 Dornberk</t>
  </si>
  <si>
    <t xml:space="preserve">celovita prenova vrtca </t>
  </si>
  <si>
    <t>opeka</t>
  </si>
  <si>
    <t>VRTEC PRVAČINA, Prvačina 48A, 5297 Prvačina</t>
  </si>
  <si>
    <t>celovita rekonstrukcija in dozidava</t>
  </si>
  <si>
    <t xml:space="preserve">NOVA TELOVADNICA </t>
  </si>
  <si>
    <t>izgradnja</t>
  </si>
  <si>
    <t>NOVA TELOVADNICA</t>
  </si>
  <si>
    <t>MATIČNA OŠ DORNBERK, VRTEC IN TELOVADNICA</t>
  </si>
  <si>
    <t>PODRUŽNIČNA ŠOLA PRVAČINA</t>
  </si>
  <si>
    <t>OŠ DORNBERK - VOZILA</t>
  </si>
  <si>
    <t>GODP020</t>
  </si>
  <si>
    <t>VF7YBBMRB11639940</t>
  </si>
  <si>
    <t>CITROEN, JUMPER CONFORT HDI 120</t>
  </si>
  <si>
    <t>divjad in domače živali, steklo, parkirišče, zunanja svetlobna telesa in ogledala, izguba ključev, nadomestno vozilo</t>
  </si>
  <si>
    <t>GOC6262</t>
  </si>
  <si>
    <t>VF7MCKFXF65489882</t>
  </si>
  <si>
    <t>CITROEN, BERLINGO 1,4 I</t>
  </si>
  <si>
    <t>OŠ MILOJKE ŠTRUKELJ</t>
  </si>
  <si>
    <t>Podatki na dan 31.12.2017</t>
  </si>
  <si>
    <t>OŠ Milojke Štrukelj Nova Gorica</t>
  </si>
  <si>
    <t>MATIČNA ŠOLA, Delpinova 7, 5000 Nova Gorica</t>
  </si>
  <si>
    <t>PRIZIDEK, Delpinova 7, 5000 Nova Gorica</t>
  </si>
  <si>
    <t>PODRUŽNIČNA ŠOLA LEDINE, Cankarjeva 23, 5000 Nova Gorica</t>
  </si>
  <si>
    <t>Igrišče - PODRUŽNIČNA ŠOLA LEDINE, Cankarjeva 23, 5000 Nova Gorica</t>
  </si>
  <si>
    <t>Športna dvorana, Rejčeva 1b, 5000 Nova Gorica</t>
  </si>
  <si>
    <t>OŠ Milojke Štrukelj Nova Gorica-prizidek</t>
  </si>
  <si>
    <t>POŠ Ledine</t>
  </si>
  <si>
    <t>POŠ Ledine - športno igrišče</t>
  </si>
  <si>
    <t>Športna dvorana</t>
  </si>
  <si>
    <t>OBJESTNA DEJANJA OBJEKT IN OPREMA (SOUDELEŽBA: 10% MIN 100,00 MAX 2.000,00)</t>
  </si>
  <si>
    <t>OŠ MILOJKE ŠTRUKELJ Z ŠPORTNO DVORANO</t>
  </si>
  <si>
    <t>POŠ LEDINE</t>
  </si>
  <si>
    <t>OŠ MILOJKE ŠTRUKELJ - VOZILA</t>
  </si>
  <si>
    <t>GODT140</t>
  </si>
  <si>
    <t>VF1JLAHA6AY333860</t>
  </si>
  <si>
    <t>RENAULT TRAFIC KOMBIBUS DIESEL PASSENGER 2,0 dCi</t>
  </si>
  <si>
    <t>parkirišče</t>
  </si>
  <si>
    <t>GOKV160</t>
  </si>
  <si>
    <t>WV1ZZZ2KZDX123034</t>
  </si>
  <si>
    <t>WOLKSWAGEN, CADDY FURGON DIESEL 1,6 TDI</t>
  </si>
  <si>
    <t>GLASBENA ŠOLA NOVA GORICA, Cankarjeva 8, 5000 Nova Gorica</t>
  </si>
  <si>
    <t>GŠ NG,Cankarjeva 8, NG</t>
  </si>
  <si>
    <t>GŠ NG, Cesta Goriške Fronte 11, Šempeter</t>
  </si>
  <si>
    <t>GŠ NG, cankarjeva 8-stari del</t>
  </si>
  <si>
    <t>GŠ NG, cankarjeva 8-novi del</t>
  </si>
  <si>
    <t>GŠ NG, Šempeter</t>
  </si>
  <si>
    <t>GLASBENA ŠOLA NG</t>
  </si>
  <si>
    <t>GLASBENA ŠOLA ŠEMPETER</t>
  </si>
  <si>
    <t>VRTEC NOVA GORICA, Kidričeva ul. 34C, 5000 Nova Gorica</t>
  </si>
  <si>
    <t>VRTEC NOVA GORICA</t>
  </si>
  <si>
    <t>ZALOGE na lokaciji Centralni vrtec:</t>
  </si>
  <si>
    <t>Centralni vrtec - Trubarjeva 5 s telovadnico in kuhinjo</t>
  </si>
  <si>
    <t>streha, fasada</t>
  </si>
  <si>
    <t>različni mater.</t>
  </si>
  <si>
    <t>5.000,00 EUR</t>
  </si>
  <si>
    <t>Mojca - Trubarjeva 5/a</t>
  </si>
  <si>
    <t>streha,sanitarije</t>
  </si>
  <si>
    <t>Najdihojca - Gregorčičeva 17</t>
  </si>
  <si>
    <t>okna,fasada,streha</t>
  </si>
  <si>
    <t>Ciciban  - Cankarjeva 1</t>
  </si>
  <si>
    <t>novogradnja</t>
  </si>
  <si>
    <t>5.</t>
  </si>
  <si>
    <t>Kurirček - Cankarjeva 32</t>
  </si>
  <si>
    <t>6.</t>
  </si>
  <si>
    <t>Kekec - Cankarjeva 66</t>
  </si>
  <si>
    <t>fasada</t>
  </si>
  <si>
    <t>7.</t>
  </si>
  <si>
    <t>Čriček - Vinka Vodopivca 23</t>
  </si>
  <si>
    <t>8.</t>
  </si>
  <si>
    <t>JP Solkan - Ul. Ludvika Slokarja 8, Solkan</t>
  </si>
  <si>
    <t>Uprava - Kidričeva 34/C</t>
  </si>
  <si>
    <t>okna</t>
  </si>
  <si>
    <t xml:space="preserve">VREDNOST OPREME NA PROSTEM </t>
  </si>
  <si>
    <t>SONČNA ELEKTRARNA</t>
  </si>
  <si>
    <t>Centralni vrtec s kuhinjo</t>
  </si>
  <si>
    <t>Mojca</t>
  </si>
  <si>
    <t>Najdihojca</t>
  </si>
  <si>
    <t>Ciciban</t>
  </si>
  <si>
    <t xml:space="preserve">Znesek sončne elektrarne se odšteje od zav. vsote za požarno zavarovanje ostale </t>
  </si>
  <si>
    <t>Kurirček</t>
  </si>
  <si>
    <t>opreme, ker se zahteva posebno zavarovanje. Vrednost sončne elektrarne</t>
  </si>
  <si>
    <t>Kekec</t>
  </si>
  <si>
    <t>je v prvi tabeli dodana v postavko STROJI IN APARATI S STROJELOMNIM RIZIKOM.</t>
  </si>
  <si>
    <t>Čriček</t>
  </si>
  <si>
    <t>JP Solkan</t>
  </si>
  <si>
    <t>9.</t>
  </si>
  <si>
    <t>Uprava</t>
  </si>
  <si>
    <r>
      <t xml:space="preserve">OBJESTNA DEJANJA OBJEKT </t>
    </r>
    <r>
      <rPr>
        <b/>
        <u/>
        <sz val="10"/>
        <rFont val="Calibri"/>
        <family val="2"/>
        <charset val="238"/>
      </rPr>
      <t xml:space="preserve">IN OPREMA NA POSTEM skupaj </t>
    </r>
  </si>
  <si>
    <t>GO 2036P</t>
  </si>
  <si>
    <t>VF7ZCRMNB17484950</t>
  </si>
  <si>
    <t>CITROEN JUMPER TURBO DIESEL Kfu 35 MH HDI</t>
  </si>
  <si>
    <t>GO KC 797</t>
  </si>
  <si>
    <t>VF7YBSMFB12633850</t>
  </si>
  <si>
    <t xml:space="preserve">CITROEN JUMPER FURGON DIESEL 33 L2H1 HDi </t>
  </si>
  <si>
    <t>steklo, zunanja ogledala, svetlobna telesa</t>
  </si>
  <si>
    <t>LJUDSKA UNIVERZA NOVA GORICA, Cankarjeva ulica 8, 5000 Nova Gorica</t>
  </si>
  <si>
    <t>LJUDSKA UNIVERZA</t>
  </si>
  <si>
    <t>Cankarjeva 8, Nova Gorica-GLAVNA STAVBA</t>
  </si>
  <si>
    <t>OBJESTNA DEJANJA OBJEKT in OPREMA (SOUDELEŽBA: FIKSNA 100,00 EUR)</t>
  </si>
  <si>
    <t>LU NOVA GORICA</t>
  </si>
  <si>
    <t>MLADINSKI CENTER  NOVA GORICA, Bazoviška ul. 4, 5000 Nova Gorica</t>
  </si>
  <si>
    <t>MLADINSKI CENTER</t>
  </si>
  <si>
    <t>Bazoviška ul. 4, Nova Gorica</t>
  </si>
  <si>
    <t>Čepovan 96A, 5253 Čepovan</t>
  </si>
  <si>
    <t>Bevkov trg 8 (hiša eksperimentov)</t>
  </si>
  <si>
    <t xml:space="preserve">DELOVNA PODROČJA MLADINSKEGA CENTRA NOVA GORICA  V LETU 2018 - skupni seštevek </t>
  </si>
  <si>
    <t xml:space="preserve">Področje delovanja </t>
  </si>
  <si>
    <t xml:space="preserve">Število dogodkov v okviru aktivnosti </t>
  </si>
  <si>
    <t xml:space="preserve">Število  udeležb </t>
  </si>
  <si>
    <t xml:space="preserve">KLUBSKI PROGRAM </t>
  </si>
  <si>
    <t xml:space="preserve">ZAPOSLOVANJE IN PODJETNIŠTVO </t>
  </si>
  <si>
    <t xml:space="preserve">DOGODKI SPODBUJANJA PARTICIPACIJE IN INFORMIRANJE </t>
  </si>
  <si>
    <t xml:space="preserve">DOGODKI ZA SOCIALNO VKLJUČENOST NEORGANIZIRANE MLADINE </t>
  </si>
  <si>
    <t xml:space="preserve">ZDRAVJE IN DOBRO POČUTJE </t>
  </si>
  <si>
    <t xml:space="preserve">ORGANIZACIJA JAVNIH PRIREDITEV </t>
  </si>
  <si>
    <t xml:space="preserve">UNICEF </t>
  </si>
  <si>
    <t xml:space="preserve">IZOBRAŽEVANJE ZAPOSLENIH </t>
  </si>
  <si>
    <t>POČITNIŠKA HIŠA ČEPOVANKA</t>
  </si>
  <si>
    <t>PREVENTIVNI PROGRAM</t>
  </si>
  <si>
    <t xml:space="preserve">E-HIŠA, NOVOGORIŠKA HIŠA POSKUSOV </t>
  </si>
  <si>
    <t xml:space="preserve"> Skupaj </t>
  </si>
  <si>
    <t xml:space="preserve">DOGODKI NEFORMALNEGA IZOBRAŽEVANJA IN USPOSABLJANJE MLADIH ZA MLADINSKO DELO </t>
  </si>
  <si>
    <t>DOGODKI SPODBUJANJA UČNIH MOBILNOSTI, MOBILNOSTI MLADIH, MEDNARODNEGA SODELOVANJA IN MEDKULTURNEGA UČENJA</t>
  </si>
  <si>
    <t xml:space="preserve">DOGODKI SPODBUJANJA PROSTOVOLJSTVA MED MLADIMI </t>
  </si>
  <si>
    <t xml:space="preserve">DOGODKI ZA VEČJO SOCIALANO VKLJUČENOST MLADIH IN OTROK Z MANJ PRILOŽNOSTMI </t>
  </si>
  <si>
    <t>DOSTOP DO KULTURNIH DOBRIN, USTVARJALNOST IN INOVATIVNOST</t>
  </si>
  <si>
    <t>TEŽA SNEGA NA 1. RIZIKO</t>
  </si>
  <si>
    <t>DODATNE NEVARNOSTI POŽARNEGA IN VLOMSKEGA ZAVAROVANJA (POVSOD BREZ FRANŠIZE, RAZEN PRI OBJESTNIH DEJANJIH, KJER FIKSNA FRANŠIZA ZNAŠA 100,00 EUR PO ŠKODNEM DOGODKU)</t>
  </si>
  <si>
    <t>Izliv vode na 1. riziko (BREZ FRANŠIZE)</t>
  </si>
  <si>
    <t>ZDRAVSTVENI DOM ZOBOZDRAVSTVENO VARSTVO</t>
  </si>
  <si>
    <t>skupaj vse lokacije</t>
  </si>
  <si>
    <t>Ul.Gradnikove brigade 7, 5000 Nova Gorica</t>
  </si>
  <si>
    <t>Čepovan 90e, 5253 Čepovan</t>
  </si>
  <si>
    <t>streha,okna</t>
  </si>
  <si>
    <t>Ul.Bojana Vodopivca 5, 5294 Dornberk</t>
  </si>
  <si>
    <t>Branik 75, 5295 Branik</t>
  </si>
  <si>
    <t>Prekomorskih brigad 25, 5290 Šempeter pri Gorici</t>
  </si>
  <si>
    <t>Cesta Goriške fronte 11, 5290 Šempeter pri Gorici</t>
  </si>
  <si>
    <t>streha, okna, fasada</t>
  </si>
  <si>
    <t>Trg 25.maja 3, 5212 Dobrovo v Brdih - star ZD</t>
  </si>
  <si>
    <t>Zadružna cesta 1, 5212 Dobrovo v Brdih</t>
  </si>
  <si>
    <t>Srebrničeva ul. 31, 5210 Deskle</t>
  </si>
  <si>
    <t>10.</t>
  </si>
  <si>
    <t>Morsko 1, 5213 Kanal ob Soči</t>
  </si>
  <si>
    <t>streha,fasada</t>
  </si>
  <si>
    <t>11.</t>
  </si>
  <si>
    <t>Miren 138, 2325 Miren</t>
  </si>
  <si>
    <t>12.</t>
  </si>
  <si>
    <t>Trg 20, 5292 Renče</t>
  </si>
  <si>
    <t xml:space="preserve">Enota - lokacija </t>
  </si>
  <si>
    <t xml:space="preserve">VREDNOST OPREME S STROJELOM. RIZIKOM </t>
  </si>
  <si>
    <t>VREDNOST OPREME BREZ STROJELOM. RIZIKA</t>
  </si>
  <si>
    <t>VREDNOST RAČUNALNIŠKE OPREME</t>
  </si>
  <si>
    <t xml:space="preserve">VREDNOST OPREME VOZILA </t>
  </si>
  <si>
    <t xml:space="preserve">VREDNOST OPREME (SKUPAJ VSA OPREMA-brez DI) </t>
  </si>
  <si>
    <t>DUNG - Gregorčičeva ul.16, 5000 Nova Gorica</t>
  </si>
  <si>
    <t>OŠ Kozara, Kidričeva ul. 35, 5000 Nova Gorica</t>
  </si>
  <si>
    <t>OŠ Solkan, Šolska ul.25, 5250 Solkan</t>
  </si>
  <si>
    <t>OŠ Dobrovo, Trg 25.maja 9, 5212 Dobrovo</t>
  </si>
  <si>
    <t>s k u p a j</t>
  </si>
  <si>
    <t>Zavaruje se 25 ambulant po 5.000,00 EUR na ambulanto, ter 2 laboratorija po 5.000,00 EUR  na lab.</t>
  </si>
  <si>
    <t xml:space="preserve">ODGOVORNOST  </t>
  </si>
  <si>
    <t>zaposleni</t>
  </si>
  <si>
    <t>pogodbeniki</t>
  </si>
  <si>
    <t>ZAPOSLENI</t>
  </si>
  <si>
    <t>ŠTEVILO</t>
  </si>
  <si>
    <t>specialisti</t>
  </si>
  <si>
    <t xml:space="preserve"> - specialist kirurg</t>
  </si>
  <si>
    <t xml:space="preserve"> - specialist čelj.in zob.ortodontije</t>
  </si>
  <si>
    <t xml:space="preserve"> - specialist protetik</t>
  </si>
  <si>
    <t xml:space="preserve"> - specialist pedontolog</t>
  </si>
  <si>
    <t>specializanti  - področje parodontologije</t>
  </si>
  <si>
    <t xml:space="preserve"> - področje parodontologije</t>
  </si>
  <si>
    <t xml:space="preserve"> - področje spec.protetike</t>
  </si>
  <si>
    <t xml:space="preserve"> - področje endodontije</t>
  </si>
  <si>
    <t>zobozdravniki</t>
  </si>
  <si>
    <t>zobozdravniki - pripravniki</t>
  </si>
  <si>
    <t>rentgenski inženirji</t>
  </si>
  <si>
    <t>medic.sestre v zobni preventivi</t>
  </si>
  <si>
    <t>zobni asistenti v ambulanti</t>
  </si>
  <si>
    <t>zobotehniki</t>
  </si>
  <si>
    <t>tehnični delavec</t>
  </si>
  <si>
    <t>čistilke</t>
  </si>
  <si>
    <t>zaposlen kader za področje uprave</t>
  </si>
  <si>
    <t>ZOBOZDRAVSTVENI STROJI</t>
  </si>
  <si>
    <t>INVENTARNA ŠT. IN NAHAJALIŠČE</t>
  </si>
  <si>
    <t>LETO NABAVE</t>
  </si>
  <si>
    <t>0016214 - spec.protet.NG</t>
  </si>
  <si>
    <t>0014886 - spec.protet.NG</t>
  </si>
  <si>
    <t>0016636 - ortod.amb.NG-Djokic C.</t>
  </si>
  <si>
    <t>0016560 - spec.parodont.NG</t>
  </si>
  <si>
    <t>0016830 - SZA  NG-dežurna</t>
  </si>
  <si>
    <t>0017123 - SZA  NG-Drusany</t>
  </si>
  <si>
    <t>0016987 - SZA  NG-Dolinar B.</t>
  </si>
  <si>
    <t>0017166 - SZA  NG-Jakončič</t>
  </si>
  <si>
    <t>0016737 - pedont.NG-Jurečič</t>
  </si>
  <si>
    <t>0016703 - KRG NG-Kožuh</t>
  </si>
  <si>
    <t>0016751 - SZA  NG-Lisjak</t>
  </si>
  <si>
    <t>0016635 - SZA  NG-Mahkovič</t>
  </si>
  <si>
    <t>13.</t>
  </si>
  <si>
    <t>0017196 - SZA  NG-Polanc</t>
  </si>
  <si>
    <t>14.</t>
  </si>
  <si>
    <t>0016633 - ŠZA  NG-Zgonik Z.</t>
  </si>
  <si>
    <t>15.</t>
  </si>
  <si>
    <t>0016727 - ŠZA  Kozara NG-Dronjić</t>
  </si>
  <si>
    <t>16.</t>
  </si>
  <si>
    <t>0016707 - ŠZA  Solkan-Horvat B.</t>
  </si>
  <si>
    <t>17.</t>
  </si>
  <si>
    <t>0016634 - SZA DUNG</t>
  </si>
  <si>
    <t>18.</t>
  </si>
  <si>
    <t>0016398 - SZA  Dornberk-Mozetič</t>
  </si>
  <si>
    <t>19.</t>
  </si>
  <si>
    <t>0016399 - ŠZA  Dornberk-Vodopivec S.</t>
  </si>
  <si>
    <t>20.</t>
  </si>
  <si>
    <t>0016631 - ŠZA  Branik-Vodopivec S.</t>
  </si>
  <si>
    <t>21.</t>
  </si>
  <si>
    <t>0016757 - SZA  Šempeter-Abramič</t>
  </si>
  <si>
    <t>22.</t>
  </si>
  <si>
    <t>0016632 - SZA  Šempeter-Beltram</t>
  </si>
  <si>
    <t>23.</t>
  </si>
  <si>
    <t>0016558 - ŠZA  Šempeter-Kodre K.</t>
  </si>
  <si>
    <t>24.</t>
  </si>
  <si>
    <t>0016988 - ortod.Šempeter</t>
  </si>
  <si>
    <t>25.</t>
  </si>
  <si>
    <t>0016705 - SZA  Dobrovo-Štekar</t>
  </si>
  <si>
    <t>26.</t>
  </si>
  <si>
    <t>0017335 - SZA  Dobrovo-Bizjak</t>
  </si>
  <si>
    <t>27.</t>
  </si>
  <si>
    <t>0016750 - ŠZA  Dobrovo-Gorkič</t>
  </si>
  <si>
    <t>28.</t>
  </si>
  <si>
    <t>0016559 - SZA  Deskle-Dolenc</t>
  </si>
  <si>
    <t>29.</t>
  </si>
  <si>
    <t>0016704 - ŠZA  Kanal-Kobale</t>
  </si>
  <si>
    <t>30.</t>
  </si>
  <si>
    <t>0016706 - SZA  Miren-Ambrožič</t>
  </si>
  <si>
    <t>31.</t>
  </si>
  <si>
    <t>0016740 - ŠZA,SZA  Miren-Sekulić</t>
  </si>
  <si>
    <t>32.</t>
  </si>
  <si>
    <t>0016708 - ŠZA,SZA Renče-Anzeljc</t>
  </si>
  <si>
    <t>ZD ZOBOZDRAVSTVENO VARSTVO - VOZILA</t>
  </si>
  <si>
    <t>ODKUP PRVE ŠKODE AKA</t>
  </si>
  <si>
    <t>GO CT-360</t>
  </si>
  <si>
    <t>ZFA169000014125930</t>
  </si>
  <si>
    <t>FIAT PANDA 4x4 1,2 CLIMBING</t>
  </si>
  <si>
    <t>GO UH-610</t>
  </si>
  <si>
    <t>WV2ZZZ2KZJX105032</t>
  </si>
  <si>
    <t>VOLKSWAGEN CADDY TRENDLINE 1,2 TSI</t>
  </si>
  <si>
    <t>KULTURNI DOM NOVA GORICA</t>
  </si>
  <si>
    <t>II. F</t>
  </si>
  <si>
    <t>III.</t>
  </si>
  <si>
    <t>Oprema na prostem (reklamni panoji 3X in oglasne vitrine 4x)</t>
  </si>
  <si>
    <t>Umetniška dela</t>
  </si>
  <si>
    <t>Zaloge</t>
  </si>
  <si>
    <t>Kulturni dom Nova Gorica</t>
  </si>
  <si>
    <t>Kolodvorska pot 8, Nova Gorica (železniška postaja)</t>
  </si>
  <si>
    <t>Galerija - Trg Edvarda Kardelja 5, Nova Gorica</t>
  </si>
  <si>
    <t xml:space="preserve">VLOM, ROP 1. R OPREMA </t>
  </si>
  <si>
    <t>2.000,00 (OPREMA IN ZALOGE SKUPAJ)</t>
  </si>
  <si>
    <t>GORIŠKE LEKARNE</t>
  </si>
  <si>
    <t>LEKARNA</t>
  </si>
  <si>
    <t>kvadratura</t>
  </si>
  <si>
    <t>leto izgradnje</t>
  </si>
  <si>
    <t>leto adap</t>
  </si>
  <si>
    <t>ZAVAROVALNA VSOTA = nadomestitvena gradbena vrednost</t>
  </si>
  <si>
    <t>oprema</t>
  </si>
  <si>
    <t>od tega strojelom (stroji)</t>
  </si>
  <si>
    <t>od tega računalniki</t>
  </si>
  <si>
    <t>zaloge na dan 31.12.2018</t>
  </si>
  <si>
    <t>denar v železni blagajni</t>
  </si>
  <si>
    <t>DOBROVO</t>
  </si>
  <si>
    <t>DORNBERK</t>
  </si>
  <si>
    <t>2008</t>
  </si>
  <si>
    <t xml:space="preserve">           </t>
  </si>
  <si>
    <t>ŠEMPETER</t>
  </si>
  <si>
    <t>1971</t>
  </si>
  <si>
    <t>KANAL</t>
  </si>
  <si>
    <t>1987</t>
  </si>
  <si>
    <t xml:space="preserve">DESKLE </t>
  </si>
  <si>
    <t>1997</t>
  </si>
  <si>
    <t>MIREN *</t>
  </si>
  <si>
    <t>1982</t>
  </si>
  <si>
    <t xml:space="preserve">RENČE </t>
  </si>
  <si>
    <t>2018</t>
  </si>
  <si>
    <t>objekt v najemu - se ne zavaruje</t>
  </si>
  <si>
    <t>MAJSKE POLJANE *</t>
  </si>
  <si>
    <t>2012</t>
  </si>
  <si>
    <t>NOVA GORICA , REJČEVA ULICA</t>
  </si>
  <si>
    <t>1980</t>
  </si>
  <si>
    <t>APARTMA CRES</t>
  </si>
  <si>
    <t>APARTMA ČATEŽ</t>
  </si>
  <si>
    <t>Na lokaciji Miren in Majske poljane se zavaruje vložek Goriške lekarne v objekt, ki je v lasti tretje osebe</t>
  </si>
  <si>
    <t>št.zaposlenih na dan 31.12.2018</t>
  </si>
  <si>
    <t>od tega 39 lekarniških delavcev</t>
  </si>
  <si>
    <t>DODATNE POŽARNE NEVARNOSTI in VLOM - ZAVAROVALNE VSOTE: POVSOD BREZ FRANŠIZE, REZEN PRI OBJESTNIH DEJANJIH, KJER ZNAŠA FIKSNA SOUDELEŽBA 100,00 EUR po škod. primeru</t>
  </si>
  <si>
    <r>
      <t>VLOM, ROP 1. R</t>
    </r>
    <r>
      <rPr>
        <b/>
        <sz val="10"/>
        <rFont val="Calibri"/>
        <family val="2"/>
        <charset val="238"/>
      </rPr>
      <t xml:space="preserve"> OPREMA</t>
    </r>
    <r>
      <rPr>
        <sz val="10"/>
        <rFont val="Calibri"/>
        <family val="2"/>
        <charset val="238"/>
      </rPr>
      <t xml:space="preserve"> </t>
    </r>
  </si>
  <si>
    <r>
      <t xml:space="preserve">VLOM, ROP 1. R </t>
    </r>
    <r>
      <rPr>
        <b/>
        <sz val="10"/>
        <rFont val="Calibri"/>
        <family val="2"/>
        <charset val="238"/>
      </rPr>
      <t>ZALOGE</t>
    </r>
    <r>
      <rPr>
        <sz val="10"/>
        <rFont val="Calibri"/>
        <family val="2"/>
        <charset val="238"/>
      </rPr>
      <t xml:space="preserve"> </t>
    </r>
  </si>
  <si>
    <t>VIŠJI STROŠKI POPRAVILA NA OBJEKTU VLOM</t>
  </si>
  <si>
    <r>
      <t xml:space="preserve">OBJEKT, OPREMA, ZALOGE </t>
    </r>
    <r>
      <rPr>
        <b/>
        <sz val="10"/>
        <rFont val="Calibri"/>
        <family val="2"/>
        <charset val="238"/>
      </rPr>
      <t>SKUPAJ</t>
    </r>
  </si>
  <si>
    <t xml:space="preserve">MIREN </t>
  </si>
  <si>
    <t>OBJEKT ZAVAROVALA OBČINA</t>
  </si>
  <si>
    <t>MAJSKE POLJANE</t>
  </si>
  <si>
    <t xml:space="preserve">1* PREVOZ DENARJA IZ LEKARN NA BANKO VRŠI PODJETJE AKTIVA INTERTRONICS </t>
  </si>
  <si>
    <t>GORIŠKA LEKARNA - VOZILA</t>
  </si>
  <si>
    <t>GO C3656</t>
  </si>
  <si>
    <t>WF0GXXGBBGDC71943</t>
  </si>
  <si>
    <t>FORD MONDEO KARAVAN 2.0 TDCI TREND</t>
  </si>
  <si>
    <t>GO RA440</t>
  </si>
  <si>
    <t>KNADN511AF6736482</t>
  </si>
  <si>
    <t>KIA RIO 1.2 EX FUN</t>
  </si>
  <si>
    <t>GO KV107</t>
  </si>
  <si>
    <t>VF77B9HF0DN523487</t>
  </si>
  <si>
    <t>CITROEN BERLINGO 1.6 HDI CLUB L1</t>
  </si>
  <si>
    <t>NA</t>
  </si>
  <si>
    <t>parkirišče, stekla, svetlobna telesa in ogledala, divjad</t>
  </si>
  <si>
    <t>GORIŠKI MUZEJ</t>
  </si>
  <si>
    <t>Zavod - LOKACIJE</t>
  </si>
  <si>
    <t>II.</t>
  </si>
  <si>
    <t>(MUZEALIJE, EKSPONATI…)</t>
  </si>
  <si>
    <t>Upravna stavba, Pod vinogradi 8, 5250 Solkan</t>
  </si>
  <si>
    <t>Objekt Medana (rojstna hiša A. Gradnika), Medana 51, 5212 Dobrovo</t>
  </si>
  <si>
    <t>Grad Kromberk, Grajska cesta 1, 5000 Nova Gorica</t>
  </si>
  <si>
    <t>Amfiteater pred Gradom Kromberk, Grajska cesta 1, 5000 Nova Gorica</t>
  </si>
  <si>
    <t>Vila Bartolomei, Pod vinogradi 2, 5250 Solkan</t>
  </si>
  <si>
    <t>83.458,52*</t>
  </si>
  <si>
    <t>Delavnice Solkan (ob Vili Bartolomei), Pod vinogradi 2, 5250 Solkan</t>
  </si>
  <si>
    <t>Grad Dobrovo, Grajska 10, 5212 Dobrovo</t>
  </si>
  <si>
    <t>Depo Ajdovščina (kasarna), Vipavska cesta BŠ, 5270 Ajdovščina</t>
  </si>
  <si>
    <t>83.458,52**</t>
  </si>
  <si>
    <t>Zbirka fosilov Ajdovščina (ob starem mlinu), Prešernova 24, 5270 Ajdovščina</t>
  </si>
  <si>
    <t>Stražarski stolp na meji, Vrtojba, 5290 Šempeter pri Gorici</t>
  </si>
  <si>
    <t>Hangar na Palah, Pale BŠ, 5270 Ajdovščina</t>
  </si>
  <si>
    <t>**</t>
  </si>
  <si>
    <t>Kraška hiša Štanjel, Štanjel, 6222 Štanjel</t>
  </si>
  <si>
    <t>Železniška postaja Nova Gorica, Kolodvorska 8, 5000 Nova Gorica</t>
  </si>
  <si>
    <t>Muzejska zbirka MIREN, v mrliški vežici na pokopališču Miren, 5291 Miren</t>
  </si>
  <si>
    <t>Muzejska zbirka SEŽANA, Repentaborska 4, 6210 Sežana</t>
  </si>
  <si>
    <t>VILA VIPOLŽE, Vipolže 29, 5212 Dobrovo</t>
  </si>
  <si>
    <t>PRISTAVA - carinarnica na meji, Kostanjeviška 32, 5000 Nova Gorica</t>
  </si>
  <si>
    <t>Muzejska zbirka  HEROJA MIHAJLA, Šempas 136, 5261 Šempas</t>
  </si>
  <si>
    <t>*vrednost predmetov v Vili Bartolomei, delavnicah in upravni stavbi skupaj</t>
  </si>
  <si>
    <t>** vrednost predmetov Hangarju na Palah in v depojih v kasarni v Ajdovščini skupaj</t>
  </si>
  <si>
    <t xml:space="preserve">VLOM, ROP 1. R (OPREMA IN MUZEALIJE) </t>
  </si>
  <si>
    <t>TATVINA IN POŠKODBE, KI JIH POVZROČIJO OBISKOVALCI</t>
  </si>
  <si>
    <t>VIŠJI STROŠKI POPRAVILA OB VLOMU</t>
  </si>
  <si>
    <t xml:space="preserve">OPREMA Z MUZEALIJAMI </t>
  </si>
  <si>
    <t>OPREMA Z MUZEALIJAMI</t>
  </si>
  <si>
    <t>Upravna stavba, Pod vinogradi 8, Solkan</t>
  </si>
  <si>
    <t>Amfiteater pred Gradom Kromberk, Grajska cesta 1</t>
  </si>
  <si>
    <t>Vila Bartolomei, Pod vinogradi 2, Solkan</t>
  </si>
  <si>
    <t>Delavnice Solkan (ob Vili Bartolomei), Pod vinogradi 2, Solkan</t>
  </si>
  <si>
    <t>Depo Ajdovščina (kasarna), Vipavska cesta BŠ, Ajdovščina</t>
  </si>
  <si>
    <t>Zbirka fosilov Ajdovščina (ob starem mlinu), Prešernova 24, Ajdovščina</t>
  </si>
  <si>
    <t>Stolp na meji, Vrtojba</t>
  </si>
  <si>
    <t xml:space="preserve">Hangar na Palah, Pale BŠ, </t>
  </si>
  <si>
    <t xml:space="preserve">Kraška hiša Štanjel, </t>
  </si>
  <si>
    <t>Železniška postaja Nova Gorica, Kolodvorska 8, Nova Gorica</t>
  </si>
  <si>
    <t>Muzejska zbirka MIREN, v mrliški vežici na pokopališču Miren</t>
  </si>
  <si>
    <t>GORIŠKI MUZEJ - VOZILA</t>
  </si>
  <si>
    <t>GO CU445</t>
  </si>
  <si>
    <t>VF77J9HP0FJ635052</t>
  </si>
  <si>
    <t>CITROEN BERLINGO 1.6 HDI SHINE</t>
  </si>
  <si>
    <t>parkirišče, stekla, svetlobna telesa in ogledala, divjad, nadomestno vozilo</t>
  </si>
  <si>
    <t>GO NJ255</t>
  </si>
  <si>
    <t>VF7YCUMFC12533080</t>
  </si>
  <si>
    <t>CITROEN JUMPER 35 L3H3 HDI 150</t>
  </si>
  <si>
    <t>stekla, svetlobna telesa in ogledala, divjad</t>
  </si>
  <si>
    <t>Šifra</t>
  </si>
  <si>
    <t>% lastništva</t>
  </si>
  <si>
    <t>Točke</t>
  </si>
  <si>
    <t>Površina z idealnim delom skupnih prostorov</t>
  </si>
  <si>
    <t>Faktor velikosti</t>
  </si>
  <si>
    <t>Vrednost stanovanja</t>
  </si>
  <si>
    <t>Najemnina</t>
  </si>
  <si>
    <t>Subvencija CSD</t>
  </si>
  <si>
    <t>Najemnina - subvencija CSD</t>
  </si>
  <si>
    <t>Delež najemnika</t>
  </si>
  <si>
    <t>Delež občine</t>
  </si>
  <si>
    <t>Subvencija občine</t>
  </si>
  <si>
    <t>Naslov stanovanja</t>
  </si>
  <si>
    <t>Poštna številka stanovanja</t>
  </si>
  <si>
    <t>Pošta stanovanja</t>
  </si>
  <si>
    <t>Plačnik</t>
  </si>
  <si>
    <t>Naslov plačnika</t>
  </si>
  <si>
    <t>Poštna številka plačnika</t>
  </si>
  <si>
    <t>Pošta plačnika</t>
  </si>
  <si>
    <t>S_DZOB</t>
  </si>
  <si>
    <t>S_LETO</t>
  </si>
  <si>
    <t>S_IMETNIK</t>
  </si>
  <si>
    <t>S_KLAS</t>
  </si>
  <si>
    <t>S_LAST</t>
  </si>
  <si>
    <t>S_AKTI</t>
  </si>
  <si>
    <t>S_FIRMAS</t>
  </si>
  <si>
    <t>S_MESUB</t>
  </si>
  <si>
    <t>S_TVRED</t>
  </si>
  <si>
    <t>S_ETVHOD</t>
  </si>
  <si>
    <t>S_INN</t>
  </si>
  <si>
    <t>S_ETOBJ</t>
  </si>
  <si>
    <t>Leto izgradnje</t>
  </si>
  <si>
    <t>ID znak</t>
  </si>
  <si>
    <t>DOGOVORJENA VREDNOST</t>
  </si>
  <si>
    <t xml:space="preserve">ZAVAROVANJE NA DOGOVORJENO NOVO VREDNOST </t>
  </si>
  <si>
    <t>IZLIV VODE NA 1. RIZIKO</t>
  </si>
  <si>
    <t>VDOR METEORNE VODE NA 1. RZIKO</t>
  </si>
  <si>
    <t>POPLAVA NA 1. RIZIKO</t>
  </si>
  <si>
    <t>14001</t>
  </si>
  <si>
    <t>BIDOVČEVA  3</t>
  </si>
  <si>
    <t>NOVA GORICA</t>
  </si>
  <si>
    <t>BIDOVČEVA 3</t>
  </si>
  <si>
    <t>1959</t>
  </si>
  <si>
    <t>DIZDAREVIĆ ANKA, BIDOVČEVA 3, 5000 NOVA GORICA</t>
  </si>
  <si>
    <t>01850001</t>
  </si>
  <si>
    <t>1</t>
  </si>
  <si>
    <t>2304-1774-3</t>
  </si>
  <si>
    <t>BANJŠICE 8</t>
  </si>
  <si>
    <t>2295-103-1</t>
  </si>
  <si>
    <t>BAZOVIŠKA 6</t>
  </si>
  <si>
    <t>2304-455-12</t>
  </si>
  <si>
    <t>2304-455-4</t>
  </si>
  <si>
    <t>2304-455-7</t>
  </si>
  <si>
    <t>2304-455-9</t>
  </si>
  <si>
    <t>2304-455-8</t>
  </si>
  <si>
    <t>2304-455-1</t>
  </si>
  <si>
    <t>2304-455-15</t>
  </si>
  <si>
    <t>2304-455-5</t>
  </si>
  <si>
    <t>2304-455-14</t>
  </si>
  <si>
    <t>2304-455-17</t>
  </si>
  <si>
    <t>2304-455-2</t>
  </si>
  <si>
    <t>36400</t>
  </si>
  <si>
    <t>BRANIK 75 A</t>
  </si>
  <si>
    <t>BRANIK</t>
  </si>
  <si>
    <t>1963</t>
  </si>
  <si>
    <t>GORJAN ROMANA, BRANIK 75A, 5295 BRANIK</t>
  </si>
  <si>
    <t>04030001</t>
  </si>
  <si>
    <t>2336-120-1</t>
  </si>
  <si>
    <t>08400</t>
  </si>
  <si>
    <t>BRANIK 75A</t>
  </si>
  <si>
    <t>VOLOVEC ANDREJA, BRANIK 75A, 5295 BRANIK</t>
  </si>
  <si>
    <t>04030002</t>
  </si>
  <si>
    <t>2336-120-2</t>
  </si>
  <si>
    <t>02090</t>
  </si>
  <si>
    <t>CANKARJEVA  2</t>
  </si>
  <si>
    <t>CANKARJEVA 2</t>
  </si>
  <si>
    <t>1962</t>
  </si>
  <si>
    <t>BREMEC ROBERT, CANKARJEVA 2, 5000 NOVA GORICA</t>
  </si>
  <si>
    <t>00070001</t>
  </si>
  <si>
    <t>2304-553-6</t>
  </si>
  <si>
    <t>04001</t>
  </si>
  <si>
    <t>CANKARJEVA  3</t>
  </si>
  <si>
    <t>CANKARJEVA 3</t>
  </si>
  <si>
    <t>1969</t>
  </si>
  <si>
    <t>STEFANOVIČ IRENA, CANKARJEVA 3, 5000 NOVA GORICA</t>
  </si>
  <si>
    <t>00130001</t>
  </si>
  <si>
    <t>2304-234-13</t>
  </si>
  <si>
    <t>CANKARJEVA 5</t>
  </si>
  <si>
    <t>2304-235-20</t>
  </si>
  <si>
    <t>03087</t>
  </si>
  <si>
    <t>CANKARJEVA  6</t>
  </si>
  <si>
    <t>CANKARJEVA 6</t>
  </si>
  <si>
    <t>1964</t>
  </si>
  <si>
    <t>ANDERLIČ ILONKA, CANKARJEVA 6, 5000 NOVA GORICA</t>
  </si>
  <si>
    <t>00290001</t>
  </si>
  <si>
    <t>2304-551-19</t>
  </si>
  <si>
    <t>14002</t>
  </si>
  <si>
    <t>CANKARJEVA 13</t>
  </si>
  <si>
    <t>1975</t>
  </si>
  <si>
    <t>MATEI MELITA, CANKARJEVA 13, 5000 NOVA GORICA</t>
  </si>
  <si>
    <t>00020002</t>
  </si>
  <si>
    <t>2304-241-37</t>
  </si>
  <si>
    <t>2304-241-54</t>
  </si>
  <si>
    <t>2304-241-52</t>
  </si>
  <si>
    <t>49200</t>
  </si>
  <si>
    <t>CANKARJEVA 15</t>
  </si>
  <si>
    <t>PEGAN MAJDA, CANKARJEVA 15, 5000 NOVA GORICA</t>
  </si>
  <si>
    <t>00040004</t>
  </si>
  <si>
    <t>2304-242-10</t>
  </si>
  <si>
    <t>37702</t>
  </si>
  <si>
    <t>PERTOVT ZVONKO, CANKARJEVA 15, 5000 NOVA GORICA</t>
  </si>
  <si>
    <t>00040003</t>
  </si>
  <si>
    <t>2304-242-53</t>
  </si>
  <si>
    <t>02584</t>
  </si>
  <si>
    <t>TANCOŠ STANISLAV, CANKARJEVA 15, 5000 NOVA GORICA</t>
  </si>
  <si>
    <t>00040002</t>
  </si>
  <si>
    <t>2304-242-13</t>
  </si>
  <si>
    <t>01767</t>
  </si>
  <si>
    <t>CANKARJEVA 16</t>
  </si>
  <si>
    <t>1974</t>
  </si>
  <si>
    <t>BURTSEVA LARISA, CANKARJEVA 16, 5000 NOVA GORICA</t>
  </si>
  <si>
    <t>00050005</t>
  </si>
  <si>
    <t>2304-784-36</t>
  </si>
  <si>
    <t>CANAKRJEVA 17</t>
  </si>
  <si>
    <t>2304-243-36</t>
  </si>
  <si>
    <t>01131</t>
  </si>
  <si>
    <t>CANKARJEVA 20</t>
  </si>
  <si>
    <t>1973</t>
  </si>
  <si>
    <t>ŽARKOVIČ ENDI, CANKARJEVA 20, 5000 NOVA GORICA</t>
  </si>
  <si>
    <t>00080002</t>
  </si>
  <si>
    <t>2304-791-11</t>
  </si>
  <si>
    <t>2304-791-20</t>
  </si>
  <si>
    <t>19001</t>
  </si>
  <si>
    <t>CANKARJEVA 34</t>
  </si>
  <si>
    <t>CANKARJEVA ULICA 34</t>
  </si>
  <si>
    <t>BEŠIČ BUKOVEC GRETA, CANKARJEVA 34, 5000 NOVA GORICA</t>
  </si>
  <si>
    <t>00150002</t>
  </si>
  <si>
    <t>2304-799-29</t>
  </si>
  <si>
    <t>CANKARJEVA 36</t>
  </si>
  <si>
    <t>2304-803-29</t>
  </si>
  <si>
    <t>00001</t>
  </si>
  <si>
    <t>CANKARJEVA 42</t>
  </si>
  <si>
    <t>HREŠČAK BRANKO, CANKARJEVA 42, 5000 NOVA GORICA</t>
  </si>
  <si>
    <t>00190003</t>
  </si>
  <si>
    <t>2304-896-3</t>
  </si>
  <si>
    <t>54600</t>
  </si>
  <si>
    <t>CANKARJEVA 50</t>
  </si>
  <si>
    <t>1976</t>
  </si>
  <si>
    <t>JERAM BRUNA, CANKARJEVA 50, 5000 NOVA GORICA</t>
  </si>
  <si>
    <t>00240015</t>
  </si>
  <si>
    <t>2304-804-50</t>
  </si>
  <si>
    <t>2304-804-25</t>
  </si>
  <si>
    <t>02883</t>
  </si>
  <si>
    <t>CANKARJEVA 52</t>
  </si>
  <si>
    <t>GORJUP BILJANA, CANKARJEVA 52, 5000 NOVA GORICA</t>
  </si>
  <si>
    <t>00250002</t>
  </si>
  <si>
    <t>2304-808-52</t>
  </si>
  <si>
    <t>57000</t>
  </si>
  <si>
    <t>HUMAR MOJCA, CANKARJEVA 52, 5000 NOVA GORICA</t>
  </si>
  <si>
    <t>00250003</t>
  </si>
  <si>
    <t>2304-808-47</t>
  </si>
  <si>
    <t>44500</t>
  </si>
  <si>
    <t>CANKARJEVA 54</t>
  </si>
  <si>
    <t>KNEŽIČ JOSIP, CANKARJEVA 54, 5000 NOVA GORICA</t>
  </si>
  <si>
    <t>00260004</t>
  </si>
  <si>
    <t>2304-805-54</t>
  </si>
  <si>
    <t>20001</t>
  </si>
  <si>
    <t>MURIČ STANISLAVA, CANKARJEVA 54, 5000 NOVA GORICA</t>
  </si>
  <si>
    <t>00260005</t>
  </si>
  <si>
    <t>2304-805-43</t>
  </si>
  <si>
    <t>19100</t>
  </si>
  <si>
    <t>CANKARJEVA 56</t>
  </si>
  <si>
    <t>GENTILE ALENKA, CANKARJEVA 56, 5000 NOVA GORICA</t>
  </si>
  <si>
    <t>00270017</t>
  </si>
  <si>
    <t>2304-807-16</t>
  </si>
  <si>
    <t>02123</t>
  </si>
  <si>
    <t>MUROVEC DANIJELA, CANKARJEVA 56, 5000 NOVA GORICA</t>
  </si>
  <si>
    <t>00270008</t>
  </si>
  <si>
    <t>2304-807-23</t>
  </si>
  <si>
    <t>02404</t>
  </si>
  <si>
    <t>STOPAR ZMAGA, CANKARJEVA 56, 5000 NOVA GORICA</t>
  </si>
  <si>
    <t>00270006</t>
  </si>
  <si>
    <t>2304-807-37</t>
  </si>
  <si>
    <t>01208</t>
  </si>
  <si>
    <t>CANKARJEVA 58</t>
  </si>
  <si>
    <t>ČERTALIČ VERA, CANKARJEVA 58, 5000 NOVA GORICA</t>
  </si>
  <si>
    <t>00280006</t>
  </si>
  <si>
    <t>2304-806-52</t>
  </si>
  <si>
    <t>08500</t>
  </si>
  <si>
    <t>MANFREDA JAN, CANKARJEVA 58, 5000 NOVA GORICA</t>
  </si>
  <si>
    <t>00280007</t>
  </si>
  <si>
    <t>2304-806-22</t>
  </si>
  <si>
    <t>2304-806-19</t>
  </si>
  <si>
    <t>CANAKRJEVA 74</t>
  </si>
  <si>
    <t>2304-833-29</t>
  </si>
  <si>
    <t>03314</t>
  </si>
  <si>
    <t>CANKARJEVA 82</t>
  </si>
  <si>
    <t>1977</t>
  </si>
  <si>
    <t>CVETKOVIĆ ZORAN, CANKARJEVA 82, 5000 NOVA GORICA</t>
  </si>
  <si>
    <t>00350009</t>
  </si>
  <si>
    <t>2304-821-23</t>
  </si>
  <si>
    <t>44300</t>
  </si>
  <si>
    <t>CANKARJEVA 84</t>
  </si>
  <si>
    <t>PODNAR TATJANA, CANKARJEVA 84, 5000 NOVA GORICA</t>
  </si>
  <si>
    <t>00360034</t>
  </si>
  <si>
    <t>2304-823-7</t>
  </si>
  <si>
    <t>05000</t>
  </si>
  <si>
    <t>CESTA 15. SEPTEMBRA 1</t>
  </si>
  <si>
    <t>15. SEPTEMBER 1</t>
  </si>
  <si>
    <t>1958</t>
  </si>
  <si>
    <t>SLOKAR SKRT DRAGICA,15. SEPTEMBER 1, 5000 NOVA GORICA</t>
  </si>
  <si>
    <t>01810001</t>
  </si>
  <si>
    <t>2304-1362-7</t>
  </si>
  <si>
    <t>31300</t>
  </si>
  <si>
    <t>ČEPOVAN 159</t>
  </si>
  <si>
    <t>ČEPOVAN</t>
  </si>
  <si>
    <t>1926</t>
  </si>
  <si>
    <t>STANOVANJSKI SKLAD MESTNE OBČINE NOVA GORICA, TRG E. KARDELJA 1, 5000  NOVA GORICA</t>
  </si>
  <si>
    <t>03210003</t>
  </si>
  <si>
    <t>2297-117-3</t>
  </si>
  <si>
    <t>03427</t>
  </si>
  <si>
    <t>1928</t>
  </si>
  <si>
    <t>MILOST CVETKA, ČEPOVAN 159, 5253 ČEPOVAN</t>
  </si>
  <si>
    <t>03210001</t>
  </si>
  <si>
    <t>2297-117-5</t>
  </si>
  <si>
    <t>03428</t>
  </si>
  <si>
    <t>RENKO JOŽE, ČEPOVAN 159, 5253 ČEPOVAN</t>
  </si>
  <si>
    <t>03210002</t>
  </si>
  <si>
    <t>9000001</t>
  </si>
  <si>
    <t>0702</t>
  </si>
  <si>
    <t>2297-117-1</t>
  </si>
  <si>
    <t>2297-117-4</t>
  </si>
  <si>
    <t>2297-117-2</t>
  </si>
  <si>
    <t>2297-117-6</t>
  </si>
  <si>
    <t>02625</t>
  </si>
  <si>
    <t>ČEPOVAN 159 A</t>
  </si>
  <si>
    <t>ČEPOVAN 159/A</t>
  </si>
  <si>
    <t>RENKO MARIJA, ČEPOVAN 159/A, 5253 ČEPOVAN</t>
  </si>
  <si>
    <t>05520001</t>
  </si>
  <si>
    <t>2297-116-1</t>
  </si>
  <si>
    <t>03155</t>
  </si>
  <si>
    <t>ČEPOVAN 179</t>
  </si>
  <si>
    <t>1901</t>
  </si>
  <si>
    <t>ROD SOŠKIH MEJAŠEV N.G., ČEPOVAN 179, 5253 ČEPOVAN</t>
  </si>
  <si>
    <t>05300000</t>
  </si>
  <si>
    <t>2297-15-1</t>
  </si>
  <si>
    <t>28600</t>
  </si>
  <si>
    <t>DELPINOVA  1</t>
  </si>
  <si>
    <t>1960</t>
  </si>
  <si>
    <t>ČATIĆ SENIJA, DELPINOVA  1, 5000 NOVA GORICA</t>
  </si>
  <si>
    <t>04740005</t>
  </si>
  <si>
    <t>2304-1411-1</t>
  </si>
  <si>
    <t>62500</t>
  </si>
  <si>
    <t>DELPINOVA 14 B</t>
  </si>
  <si>
    <t>DELPINOVA 14/B</t>
  </si>
  <si>
    <t>ŠORLI ALENKA, DELPINOVA 14/B, 5000 NOVA GORICA</t>
  </si>
  <si>
    <t>00680004</t>
  </si>
  <si>
    <t>2304-2-121</t>
  </si>
  <si>
    <t>03540</t>
  </si>
  <si>
    <t>DELPINOVA 24</t>
  </si>
  <si>
    <t>1961</t>
  </si>
  <si>
    <t>BRZIN MARJAN, DELPINOVA 24, 5000 NOVA GORICA</t>
  </si>
  <si>
    <t>05120301</t>
  </si>
  <si>
    <t>2304-323-211</t>
  </si>
  <si>
    <t>Dornberk, B.Vodopivca 5</t>
  </si>
  <si>
    <t>2335-1651-9</t>
  </si>
  <si>
    <t>2335-1651-7</t>
  </si>
  <si>
    <t>2335-1651-10</t>
  </si>
  <si>
    <t>2335-1651-4</t>
  </si>
  <si>
    <t>2335-1651-8</t>
  </si>
  <si>
    <t>2335-1651-6</t>
  </si>
  <si>
    <t>2335-1651-5</t>
  </si>
  <si>
    <t>2335-1651-3</t>
  </si>
  <si>
    <t>37701</t>
  </si>
  <si>
    <t>ERJAVČEVA  5</t>
  </si>
  <si>
    <t>ERJAVČEVA 5</t>
  </si>
  <si>
    <t>BULLIQI AVDULLAH, ERJAVČEVA 5, 5000 NOVA GORICA</t>
  </si>
  <si>
    <t>01980001</t>
  </si>
  <si>
    <t>2304-1395-5</t>
  </si>
  <si>
    <t>2304-1395-1</t>
  </si>
  <si>
    <t>03070</t>
  </si>
  <si>
    <t>ERJAVČEVA  9</t>
  </si>
  <si>
    <t>ERJAVČEVA 9</t>
  </si>
  <si>
    <t>BYTYQI METUŠ, ERJAVČEVA 9, 5000 NOVA GORICA</t>
  </si>
  <si>
    <t>02020001</t>
  </si>
  <si>
    <t>2304-1400-2</t>
  </si>
  <si>
    <t>ERJAVČEVA 39</t>
  </si>
  <si>
    <t>2304-1917-2</t>
  </si>
  <si>
    <t>2304-1917-1</t>
  </si>
  <si>
    <t>01114</t>
  </si>
  <si>
    <t>ERJAVČEVA 45</t>
  </si>
  <si>
    <t>1902</t>
  </si>
  <si>
    <t>BOSNIĆ ELVIS, ERJAVČEVA 45, 5000 NOVA GORICA</t>
  </si>
  <si>
    <t>01970010</t>
  </si>
  <si>
    <t>2304-1902-7</t>
  </si>
  <si>
    <t>01244</t>
  </si>
  <si>
    <t>JAŠAREVIĆ ŠEFIKA, ERJAVČEVA 45, 5000 NOVA GORICA</t>
  </si>
  <si>
    <t>01970007</t>
  </si>
  <si>
    <t>2304-1902-5</t>
  </si>
  <si>
    <t>32500</t>
  </si>
  <si>
    <t>KOVAČEVIČ EMIR, ERJAVČEVA 45, 5000 NOVA GORICA</t>
  </si>
  <si>
    <t>01970005</t>
  </si>
  <si>
    <t>2304-1902-3</t>
  </si>
  <si>
    <t>02031</t>
  </si>
  <si>
    <t>PRIJEVIĆ RAJKA, ERJAVČEVA 45, 5000 NOVA GORICA</t>
  </si>
  <si>
    <t>01970006</t>
  </si>
  <si>
    <t>2304-1902-4</t>
  </si>
  <si>
    <t>02138</t>
  </si>
  <si>
    <t>TRG E. KARDELAJA 1</t>
  </si>
  <si>
    <t>SS MONG NOVA GORICA, TRG EDVARDA KARDELAJA 1, NOVA GORICA</t>
  </si>
  <si>
    <t>01970008</t>
  </si>
  <si>
    <t>2304-1902-6</t>
  </si>
  <si>
    <t>02174</t>
  </si>
  <si>
    <t>TOMIĆ JOVANKA, ERJAVČEVA 45, 5000 NOVA GORICA</t>
  </si>
  <si>
    <t>01970001</t>
  </si>
  <si>
    <t>2304-1902-9, 10</t>
  </si>
  <si>
    <t>02624</t>
  </si>
  <si>
    <t>ŽIŽMOND OLGA, ERJAVČEVA 45, 5000 NOVA GORICA</t>
  </si>
  <si>
    <t>01970002</t>
  </si>
  <si>
    <t>2304-1902-8,11</t>
  </si>
  <si>
    <t>00404</t>
  </si>
  <si>
    <t>ERJAVČEVA 51</t>
  </si>
  <si>
    <t>1922</t>
  </si>
  <si>
    <t>PODGORNIK MARIJA, ERJAVČEVA 51, 5000 NOVA GORICA</t>
  </si>
  <si>
    <t>01990002</t>
  </si>
  <si>
    <t>2304-2414-2</t>
  </si>
  <si>
    <t>GORTANOVA 6</t>
  </si>
  <si>
    <t>2304-2430-16</t>
  </si>
  <si>
    <t>2304-2430-17</t>
  </si>
  <si>
    <t>2304-2430-18</t>
  </si>
  <si>
    <t>2304-2430-19</t>
  </si>
  <si>
    <t>2304-2430-20</t>
  </si>
  <si>
    <t>2304-2430-21</t>
  </si>
  <si>
    <t>2304-2430-22</t>
  </si>
  <si>
    <t>2304-2430-23</t>
  </si>
  <si>
    <t>2304-2430-24</t>
  </si>
  <si>
    <t>03339</t>
  </si>
  <si>
    <t>GRADIŠČE  5</t>
  </si>
  <si>
    <t>GRADIŠČE 5</t>
  </si>
  <si>
    <t>CVIJETKOVIĆ MILENA, GRADIŠČE 5, 5294 DORNBERK</t>
  </si>
  <si>
    <t>03930003</t>
  </si>
  <si>
    <t>2335-1531-3</t>
  </si>
  <si>
    <t>01685</t>
  </si>
  <si>
    <t>FJORELI AMADEJA, GRADIŠČE 5, 5294 DORNBERK</t>
  </si>
  <si>
    <t>03930001</t>
  </si>
  <si>
    <t>2335-1531-4</t>
  </si>
  <si>
    <t>02755</t>
  </si>
  <si>
    <t>GRADIŠČE 95</t>
  </si>
  <si>
    <t>1921</t>
  </si>
  <si>
    <t>LEŠ IRENA, GRADIŠČE 95, 5294 DORNBERK</t>
  </si>
  <si>
    <t>03950003</t>
  </si>
  <si>
    <t>2321-94-5</t>
  </si>
  <si>
    <t>75400</t>
  </si>
  <si>
    <t>GRADNIKOVE BRIGADE  9</t>
  </si>
  <si>
    <t>1978</t>
  </si>
  <si>
    <t>GULIČ IVANA, GRADNIKOVE BRIGADE 9, 5000 NOVA GORICA</t>
  </si>
  <si>
    <t>00650014</t>
  </si>
  <si>
    <t>2304-772-18</t>
  </si>
  <si>
    <t>42500</t>
  </si>
  <si>
    <t>VUJAKOVIĆ MILAN, GRADNIKOVE BRIGADE 9, 5000 NOVA GORICA</t>
  </si>
  <si>
    <t>00650015</t>
  </si>
  <si>
    <t>2304-772-34</t>
  </si>
  <si>
    <t>GRADNIKOVE BRIGADE 11</t>
  </si>
  <si>
    <t>2304-771-5</t>
  </si>
  <si>
    <t>03599</t>
  </si>
  <si>
    <t>GRADNIKOVE BRIGADE 15</t>
  </si>
  <si>
    <t>1979</t>
  </si>
  <si>
    <t>PRIMORSKO DRAMSKO GLEDALIŠČE, Trg E. Kardelja 5, 5000 NOVA GORICA</t>
  </si>
  <si>
    <t>00520006</t>
  </si>
  <si>
    <t>2304-770-44</t>
  </si>
  <si>
    <t>38000</t>
  </si>
  <si>
    <t>GRADNIKOVE BRIGADE 17</t>
  </si>
  <si>
    <t>BAJIČ NIVES, GRADNIKOVE BRIGADE 17, 5000 NOVA GORICA</t>
  </si>
  <si>
    <t>00530004</t>
  </si>
  <si>
    <t>2304-769-12</t>
  </si>
  <si>
    <t>03694</t>
  </si>
  <si>
    <t>GRADNIKOVE BRIGADE 19</t>
  </si>
  <si>
    <t>REMEC ANKA, GRADNIKOVE BRIGADE 19, 5000 NOVA GORICA</t>
  </si>
  <si>
    <t>00540007</t>
  </si>
  <si>
    <t>2304-768-41</t>
  </si>
  <si>
    <t>02001</t>
  </si>
  <si>
    <t>GRADNIKOVE BRIGADE 23</t>
  </si>
  <si>
    <t>PINTAR MILENA, GRADNIKOVE BRIGADE 23, 5000 NOVA GORICA</t>
  </si>
  <si>
    <t>00550011</t>
  </si>
  <si>
    <t>2304-767-26</t>
  </si>
  <si>
    <t>02693</t>
  </si>
  <si>
    <t>PROHAN JASMINA, GRADNIKOVE BRIGADE 23, 5000 NOVA GORICA</t>
  </si>
  <si>
    <t>00550010</t>
  </si>
  <si>
    <t>2304-767-29</t>
  </si>
  <si>
    <t>13500</t>
  </si>
  <si>
    <t>GRADNIKOVE BRIGADE 27</t>
  </si>
  <si>
    <t>HUMAR HERMINA, GRADNIKOVE BRIGADE 27, 5000 NOVA GORICA</t>
  </si>
  <si>
    <t>00560015</t>
  </si>
  <si>
    <t>2304-898-13</t>
  </si>
  <si>
    <t>10500</t>
  </si>
  <si>
    <t>UL. BRATOV HVALIČ 67</t>
  </si>
  <si>
    <t>KOVAČIČ MAJDA, GRADNIKOVE BRIGADE 27, 5000 NOVA GORICA</t>
  </si>
  <si>
    <t>00560013</t>
  </si>
  <si>
    <t>2304-898-8</t>
  </si>
  <si>
    <t>02977</t>
  </si>
  <si>
    <t>TUTNER ANA, GRADNIKOVE BRIGADE 27, 5000 NOVA GORICA</t>
  </si>
  <si>
    <t>00560016</t>
  </si>
  <si>
    <t>2304-898-12</t>
  </si>
  <si>
    <t>76500</t>
  </si>
  <si>
    <t>VRTAČIČ VLASTA, GRADNIKOVE BRIGADE 27, 5000 NOVA GORICA</t>
  </si>
  <si>
    <t>00560001</t>
  </si>
  <si>
    <t>2304-898-22</t>
  </si>
  <si>
    <t>03554</t>
  </si>
  <si>
    <t>GRADNIKOVE BRIGADE 29</t>
  </si>
  <si>
    <t>URŠIČ NATAŠA, GRADNIKOVE BRIGADE 29, 5000 NOVA GORICA</t>
  </si>
  <si>
    <t>00570018</t>
  </si>
  <si>
    <t>2304-899-41</t>
  </si>
  <si>
    <t>01400</t>
  </si>
  <si>
    <t>DAMJANOVIĆ BLAGOJE, GRADNIKOVE BRIGADE 29, 5000 NOVA GORICA</t>
  </si>
  <si>
    <t>00570015</t>
  </si>
  <si>
    <t>2304-899-9</t>
  </si>
  <si>
    <t>13001</t>
  </si>
  <si>
    <t>GRADNIKOVE BRIGADE 31</t>
  </si>
  <si>
    <t>ŽNIDARŠIČ ANICA, GRADNIKOVE BRIGADE 31, 5000 NOVA GORICA</t>
  </si>
  <si>
    <t>00580015</t>
  </si>
  <si>
    <t>2304-900-44</t>
  </si>
  <si>
    <t>02388</t>
  </si>
  <si>
    <t>GIDAKOVIČ PRAŠOVIĆ JASNA, GRADNIKOVE BRIGADE 31, 5000 NOVA GORICA</t>
  </si>
  <si>
    <t>00580007</t>
  </si>
  <si>
    <t>2304-900-65</t>
  </si>
  <si>
    <t>01200</t>
  </si>
  <si>
    <t>MILIJAŠEVIČ DRAGUTIN, GRADNIKOVE BRIGADE 31, 5000 NOVA GORICA</t>
  </si>
  <si>
    <t>00580017</t>
  </si>
  <si>
    <t>2304-900-54</t>
  </si>
  <si>
    <t>06500</t>
  </si>
  <si>
    <t>PERKMAN MARIJAN, GRADNIKOVE BRIGADE 31, 5000 NOVA GORICA</t>
  </si>
  <si>
    <t>00580012</t>
  </si>
  <si>
    <t>2304-900-11</t>
  </si>
  <si>
    <t>42400</t>
  </si>
  <si>
    <t>TESTEN MERI, GRADNIKOVE BRIGADE 31, 5000 NOVA GORICA</t>
  </si>
  <si>
    <t>00580014</t>
  </si>
  <si>
    <t>2304-900-34</t>
  </si>
  <si>
    <t>01392</t>
  </si>
  <si>
    <t>GRADNIKOVE BRIGADE 33</t>
  </si>
  <si>
    <t>BUNIĆ GOSPA, GRADNIKOVE BRIGADE 33, 5000 NOVA GORICA</t>
  </si>
  <si>
    <t>00590041</t>
  </si>
  <si>
    <t>2304-901-26</t>
  </si>
  <si>
    <t>03088</t>
  </si>
  <si>
    <t>MARKOVIĆ VITOMIR, GRADNIKOVE BRIGADE 33, 5000 NOVA GORICA</t>
  </si>
  <si>
    <t>00590028</t>
  </si>
  <si>
    <t>2304-901-59</t>
  </si>
  <si>
    <t>03461</t>
  </si>
  <si>
    <t>MIŠIGOJ TATJANA, GRADNIKOVE BRIGADE 33, 5000 NOVA GORICA</t>
  </si>
  <si>
    <t>00590030</t>
  </si>
  <si>
    <t>1103</t>
  </si>
  <si>
    <t>2304-901-68</t>
  </si>
  <si>
    <t>02916</t>
  </si>
  <si>
    <t>GRADNIKOVE BRIGADE 39</t>
  </si>
  <si>
    <t>BUKOVEC BARBARA, GRADNIKOVE BRIGADE 39, 5000 NOVA GORICA</t>
  </si>
  <si>
    <t>00600009</t>
  </si>
  <si>
    <t>2304-813-11</t>
  </si>
  <si>
    <t>56400</t>
  </si>
  <si>
    <t>GRADNIKOVE BRIGADE 47</t>
  </si>
  <si>
    <t>1981</t>
  </si>
  <si>
    <t>LEBAN IVAN, GRADNIKOVE BRIGADE 47, 5000 NOVA GORICA</t>
  </si>
  <si>
    <t>05260065</t>
  </si>
  <si>
    <t>2304-815-65</t>
  </si>
  <si>
    <t>59500</t>
  </si>
  <si>
    <t>VIDMAR ADRIJAN, GRADNIKOVE BRIGADE 47, 5000 NOVA GORICA</t>
  </si>
  <si>
    <t>05260016</t>
  </si>
  <si>
    <t>2304-815-16</t>
  </si>
  <si>
    <t>03296</t>
  </si>
  <si>
    <t>GRADNIKOVE BRIGADE 49</t>
  </si>
  <si>
    <t>BONE RENATA, GRADNIKOVE BRIGADE 49, 5000 NOVA GORICA</t>
  </si>
  <si>
    <t>05270040</t>
  </si>
  <si>
    <t>2304-816-40</t>
  </si>
  <si>
    <t>42800</t>
  </si>
  <si>
    <t>MALEŠ MILE, GRADNIKOVE BRIGADE 49, 5000 NOVA GORICA</t>
  </si>
  <si>
    <t>05270009</t>
  </si>
  <si>
    <t>2304-816-9</t>
  </si>
  <si>
    <t>00116</t>
  </si>
  <si>
    <t>VUKAŠINOVIČ DUŠAN, GRADNIKOVE BRIGADE 49, 5000 NOVA GORICA</t>
  </si>
  <si>
    <t>05270014</t>
  </si>
  <si>
    <t>2304-816-14</t>
  </si>
  <si>
    <t>80300</t>
  </si>
  <si>
    <t>GRADNIKOVE BRIGADE 51</t>
  </si>
  <si>
    <t>KOVAČIČ DUŠAN, GRADNIKOVE BRIGADE 51, 5000 NOVA GORICA</t>
  </si>
  <si>
    <t>04160013</t>
  </si>
  <si>
    <t>2304-817-46</t>
  </si>
  <si>
    <t>05200</t>
  </si>
  <si>
    <t>MATTIAZZI HEIDI, GRADNIKOVE BRIGADE 51, 5000 NOVA GORICA</t>
  </si>
  <si>
    <t>04160049</t>
  </si>
  <si>
    <t>2304-817-2</t>
  </si>
  <si>
    <t>2304-817-10</t>
  </si>
  <si>
    <t>35900</t>
  </si>
  <si>
    <t>GRADNIKOVE BRIGADE 57</t>
  </si>
  <si>
    <t>1990</t>
  </si>
  <si>
    <t>GREGORIČ BOGDAN, GRADNIKOVE BRIGADE 57, 5000 NOVA GORICA</t>
  </si>
  <si>
    <t>04560013</t>
  </si>
  <si>
    <t>2304-944-13</t>
  </si>
  <si>
    <t>37700</t>
  </si>
  <si>
    <t>ŠAFARIČ ERMELINDA, GRADNIKOVE BRIGADE 57, 5000 NOVA GORICA</t>
  </si>
  <si>
    <t>04560015</t>
  </si>
  <si>
    <t>2304-944-15</t>
  </si>
  <si>
    <t>01674</t>
  </si>
  <si>
    <t>ŠULIGOJ TANJA, GRADNIKOVE BRIGADE 57, 5000 NOVA GORICA</t>
  </si>
  <si>
    <t>04560046</t>
  </si>
  <si>
    <t>2304-944-46</t>
  </si>
  <si>
    <t>01786</t>
  </si>
  <si>
    <t>URŠIČ NATAŠA, GRADNIKOVE BRIGADE 57, 5000 NOVA GORICA</t>
  </si>
  <si>
    <t>04560026</t>
  </si>
  <si>
    <t>2304-944-26</t>
  </si>
  <si>
    <t>01209</t>
  </si>
  <si>
    <t>ŽIŽMOND MATJAŽ, GRADNIKOVE BRIGADE 57, 5000 NOVA GORICA</t>
  </si>
  <si>
    <t>04560008</t>
  </si>
  <si>
    <t>2304-944-8</t>
  </si>
  <si>
    <t>GRADNIKOVE BRIGADE 59</t>
  </si>
  <si>
    <t>Ljubljanska cesta  št. 9</t>
  </si>
  <si>
    <t>Maribor</t>
  </si>
  <si>
    <t>1991</t>
  </si>
  <si>
    <t>OZARA SLOVENIJA, GRADNIKOVE BRIGADE 59, 5000 NOVA GORICA</t>
  </si>
  <si>
    <t>04590048</t>
  </si>
  <si>
    <t>2304-945-46</t>
  </si>
  <si>
    <t>2304-945-29</t>
  </si>
  <si>
    <t>01116</t>
  </si>
  <si>
    <t>GRADNIKOVE BRIGADE 61</t>
  </si>
  <si>
    <t>1993</t>
  </si>
  <si>
    <t>ANDERLIČ IVANKA, GRADNIKOVE BRIGADE 61, 5000 NOVA GORICA</t>
  </si>
  <si>
    <t>04850021</t>
  </si>
  <si>
    <t>2304-947-12</t>
  </si>
  <si>
    <t>02071</t>
  </si>
  <si>
    <t>BITEŽNIK VALENTINA, GRADNIKOVE BRIGADE 61, 5000 NOVA GORICA</t>
  </si>
  <si>
    <t>04850019</t>
  </si>
  <si>
    <t>2304-947-9</t>
  </si>
  <si>
    <t>12100</t>
  </si>
  <si>
    <t>FABJAN DENIS, GRADNIKOVE BRIGADE 61, 5000 NOVA GORICA</t>
  </si>
  <si>
    <t>04850020</t>
  </si>
  <si>
    <t>2304-947-11</t>
  </si>
  <si>
    <t>02768</t>
  </si>
  <si>
    <t>GORJAN BOJAN, GRADNIKOVE BRIGADE 61, 5000 NOVA GORICA</t>
  </si>
  <si>
    <t>04850023</t>
  </si>
  <si>
    <t>2304-947-24</t>
  </si>
  <si>
    <t>64500</t>
  </si>
  <si>
    <t>MATOH BINE, GRADNIKOVE BRIGADE 61, 5000 NOVA GORICA</t>
  </si>
  <si>
    <t>04850013</t>
  </si>
  <si>
    <t>2304-947-28</t>
  </si>
  <si>
    <t>02175</t>
  </si>
  <si>
    <t>MAVRIČ NADJA, GRADNIKOVE BRIGADE 61, 5000 NOVA GORICA</t>
  </si>
  <si>
    <t>04850027</t>
  </si>
  <si>
    <t>2304-947-42</t>
  </si>
  <si>
    <t>05700</t>
  </si>
  <si>
    <t>MERKAN FRANC, GRADNIKOVE BRIGADE 61, 5000 NOVA GORICA</t>
  </si>
  <si>
    <t>04850025</t>
  </si>
  <si>
    <t>2304-947-35</t>
  </si>
  <si>
    <t>01785</t>
  </si>
  <si>
    <t>KLEMENC MARIJA, GRADNIKOVE BRIGADE 61, 5000 NOVA GORICA</t>
  </si>
  <si>
    <t>04850022</t>
  </si>
  <si>
    <t>2304-947-21</t>
  </si>
  <si>
    <t>02939</t>
  </si>
  <si>
    <t>NIKOLIĆ MAGDALENA, GRADNIKOVE BRIGADE 61, 5000 NOVA GORICA</t>
  </si>
  <si>
    <t>04850026</t>
  </si>
  <si>
    <t>2304-947-39</t>
  </si>
  <si>
    <t>03263</t>
  </si>
  <si>
    <t>SKRT JOŽICA, GRADNIKOVE BRIGADE 61, 5000 NOVA GORICA</t>
  </si>
  <si>
    <t>04850018</t>
  </si>
  <si>
    <t>2304-947-6</t>
  </si>
  <si>
    <t>00942</t>
  </si>
  <si>
    <t>ŠČUKA ELVIRA, GRADNIKOVE BRIGADE 61, 5000 NOVA GORICA</t>
  </si>
  <si>
    <t>04850029</t>
  </si>
  <si>
    <t>2304-947-27</t>
  </si>
  <si>
    <t>02759</t>
  </si>
  <si>
    <t>ŠKABAR BRANKA, GRADNIKOVE BRIGADE 61, 5000 NOVA GORICA</t>
  </si>
  <si>
    <t>04850024</t>
  </si>
  <si>
    <t>2304-947-33</t>
  </si>
  <si>
    <t>74400</t>
  </si>
  <si>
    <t>URŠIČ ANTON, GRADNIKOVE BRIGADE 61, 5000 NOVA GORICA</t>
  </si>
  <si>
    <t>04850028</t>
  </si>
  <si>
    <t>2304-947-30</t>
  </si>
  <si>
    <t>01237</t>
  </si>
  <si>
    <t>Dornberk, Gregorčičeva 11a</t>
  </si>
  <si>
    <t>GREGORČIČEVA 11A</t>
  </si>
  <si>
    <t>1965</t>
  </si>
  <si>
    <t>SIMIČ RUŽA, GREGORČIČEVA 11A, 5294 DORNBERK</t>
  </si>
  <si>
    <t>03960001</t>
  </si>
  <si>
    <t>2335-49-2</t>
  </si>
  <si>
    <t>00302</t>
  </si>
  <si>
    <t>MARGON ANA, GREGORČIČEVA 11A, 5294 DORNBERK</t>
  </si>
  <si>
    <t>03960002</t>
  </si>
  <si>
    <t>2335-49-3</t>
  </si>
  <si>
    <t>47000</t>
  </si>
  <si>
    <t>Gregorčičeva 11a</t>
  </si>
  <si>
    <t>GRAFENAUER BLAGICA, GREGORČIČEVA 11A, 5294 DORNBERK</t>
  </si>
  <si>
    <t>03960004</t>
  </si>
  <si>
    <t>2335-49-1</t>
  </si>
  <si>
    <t>01097</t>
  </si>
  <si>
    <t>ŠUŠMELJ NEVENKA, GREGORČIČEVA 11A, 5294 DORNBERK</t>
  </si>
  <si>
    <t>03960003</t>
  </si>
  <si>
    <t>2335-49-4</t>
  </si>
  <si>
    <t>01593</t>
  </si>
  <si>
    <t>GREGORČIČEVA 12 A</t>
  </si>
  <si>
    <t>GREGORČIČEVA 12/A</t>
  </si>
  <si>
    <t>1970</t>
  </si>
  <si>
    <t>MRHAR MARY OTILIJA, GREGORČIČEVA 12/A, 5000 NOVA GORICA</t>
  </si>
  <si>
    <t>02170112</t>
  </si>
  <si>
    <t>2304-1364-9</t>
  </si>
  <si>
    <t>GREGORČIČEVA 12B</t>
  </si>
  <si>
    <t>2304-1364-102</t>
  </si>
  <si>
    <t>50200</t>
  </si>
  <si>
    <t>GREGORČIČEVA 13 A</t>
  </si>
  <si>
    <t>1967</t>
  </si>
  <si>
    <t>PETROVČIČ MIROSLAV, GREGORČIČEVA13A, 5000 NOVA GORICA</t>
  </si>
  <si>
    <t>02180101</t>
  </si>
  <si>
    <t>2304-586-16</t>
  </si>
  <si>
    <t>2304-586-18</t>
  </si>
  <si>
    <t>02076</t>
  </si>
  <si>
    <t>GREGORČIČEVA 13 B</t>
  </si>
  <si>
    <t>PERŠOLJA BOJAN, GREGORČIČEVA 13B, 5000 NOVA GORICA</t>
  </si>
  <si>
    <t>02180204</t>
  </si>
  <si>
    <t>2304-586-110</t>
  </si>
  <si>
    <t>02959</t>
  </si>
  <si>
    <t>GREGORČIČEVA 14 B</t>
  </si>
  <si>
    <t>1968</t>
  </si>
  <si>
    <t>NOVAK VIDA, GREGORČIČEVA 14B, 5000 NOVA GORICA</t>
  </si>
  <si>
    <t>05320203</t>
  </si>
  <si>
    <t>2304-1353-17</t>
  </si>
  <si>
    <t>GREGORČIČEVA 15A</t>
  </si>
  <si>
    <t>2304-1513-16</t>
  </si>
  <si>
    <t>01525</t>
  </si>
  <si>
    <t>GREGORČIČEVA 15 B</t>
  </si>
  <si>
    <t>GREGORČIČEVA 15/B</t>
  </si>
  <si>
    <t>1966</t>
  </si>
  <si>
    <t>OREL ALEKSANDRA, GREGORČIČEVA 15/B, 5000 NOVA GORICA</t>
  </si>
  <si>
    <t>02200201</t>
  </si>
  <si>
    <t>2304-1513-118</t>
  </si>
  <si>
    <t>02134</t>
  </si>
  <si>
    <t>GRGAR 39</t>
  </si>
  <si>
    <t>GRGAR</t>
  </si>
  <si>
    <t>TRG. E. KARDELJA 1</t>
  </si>
  <si>
    <t>STANOVANJSKI SKLAD MESTNE OBČINE NOVA GORICA, Trg E. Kardelja 1, 5000 NOVA GORICA</t>
  </si>
  <si>
    <t>03170003</t>
  </si>
  <si>
    <t>2293-702-2</t>
  </si>
  <si>
    <t>2293-702-4</t>
  </si>
  <si>
    <t>2293-702-1</t>
  </si>
  <si>
    <t>2293-702-3</t>
  </si>
  <si>
    <t>GRGAR 46A</t>
  </si>
  <si>
    <t>2293-762-1</t>
  </si>
  <si>
    <t>2293-762-2</t>
  </si>
  <si>
    <t>02829</t>
  </si>
  <si>
    <t>IX. KORPUS  54</t>
  </si>
  <si>
    <t>SOLKAN</t>
  </si>
  <si>
    <t>IX.KORPUS 54</t>
  </si>
  <si>
    <t>PAŠALIĆ LJUBOMIR, IX.KORPUS 54, 5250 SOLKAN</t>
  </si>
  <si>
    <t>00740000</t>
  </si>
  <si>
    <t>2303-895-501</t>
  </si>
  <si>
    <t>72300</t>
  </si>
  <si>
    <t>IX. KORPUS 54</t>
  </si>
  <si>
    <t>1948</t>
  </si>
  <si>
    <t>DELIČ PELKA, IX. KORPUS 54, 5250 SOLKAN</t>
  </si>
  <si>
    <t>00740001</t>
  </si>
  <si>
    <t>2303-895-505</t>
  </si>
  <si>
    <t>02758</t>
  </si>
  <si>
    <t>1999</t>
  </si>
  <si>
    <t>BATAGELJ DARKO, IX. KORPUS 54, 5250 SOLKAN</t>
  </si>
  <si>
    <t>00740003</t>
  </si>
  <si>
    <t>2303-895-506</t>
  </si>
  <si>
    <t>13004</t>
  </si>
  <si>
    <t>BATAGELJ MARIJAN, IX. KORPUS 54, 5250 SOLKAN</t>
  </si>
  <si>
    <t>00740005</t>
  </si>
  <si>
    <t>2303-895-502</t>
  </si>
  <si>
    <t>03356</t>
  </si>
  <si>
    <t>ĐOKIČ JAGODA, IX. KORPUS 54, 5250 SOLKAN</t>
  </si>
  <si>
    <t>00740006</t>
  </si>
  <si>
    <t>2303-895-508</t>
  </si>
  <si>
    <t>02787</t>
  </si>
  <si>
    <t>IMAMOVIĆ HAVA, IX. KORPUS 54, 5250 SOLKAN</t>
  </si>
  <si>
    <t>00740009</t>
  </si>
  <si>
    <t>2303-895-503</t>
  </si>
  <si>
    <t>02770</t>
  </si>
  <si>
    <t>JANKOVIČ MOMIRA, IX. KORPUS 54, 5250 SOLKAN</t>
  </si>
  <si>
    <t>00740007</t>
  </si>
  <si>
    <t>2303-895-507</t>
  </si>
  <si>
    <t>00941</t>
  </si>
  <si>
    <t>MUTIĆ VESNA, IX. KORPUS 54, 5250 SOLKAN</t>
  </si>
  <si>
    <t>00740002</t>
  </si>
  <si>
    <t>2303-895-504</t>
  </si>
  <si>
    <t>00833</t>
  </si>
  <si>
    <t>SEDEVČIČ MARJAN, IX. KORPUS 54, 5250 SOLKAN</t>
  </si>
  <si>
    <t>00740004</t>
  </si>
  <si>
    <t>2303-895-509</t>
  </si>
  <si>
    <t>2303-895-404</t>
  </si>
  <si>
    <t>2303-895-406</t>
  </si>
  <si>
    <t>01128</t>
  </si>
  <si>
    <t>IX. KORPUS  60</t>
  </si>
  <si>
    <t>IX. KORPUS 60</t>
  </si>
  <si>
    <t>PAVLOVIČ KSAVERIJ, IX. KORPUS 60, 5250 SOLKAN</t>
  </si>
  <si>
    <t>00770001</t>
  </si>
  <si>
    <t>2303-1765-1</t>
  </si>
  <si>
    <t>10300</t>
  </si>
  <si>
    <t>IX. KORPUS  61</t>
  </si>
  <si>
    <t>IX. KORPUS 61</t>
  </si>
  <si>
    <t>1900</t>
  </si>
  <si>
    <t>MRAK ZOFIJA, IX. KORPUS 61, 5250 SOLKAN</t>
  </si>
  <si>
    <t>00820004</t>
  </si>
  <si>
    <t>2303-1679-4</t>
  </si>
  <si>
    <t>01765</t>
  </si>
  <si>
    <t>STAJIĆ MILICA, IX. KORPUS 61, 5250 SOLKAN</t>
  </si>
  <si>
    <t>00820003</t>
  </si>
  <si>
    <t>2303-1679-1</t>
  </si>
  <si>
    <t>06100</t>
  </si>
  <si>
    <t>IX. KORPUS  72</t>
  </si>
  <si>
    <t>IX. KORPUS 72</t>
  </si>
  <si>
    <t>KOVAČIČ ALBERTA, IX. KORPUS 72, 5250 SOLKAN</t>
  </si>
  <si>
    <t>00780001</t>
  </si>
  <si>
    <t>2303-430-2</t>
  </si>
  <si>
    <t>01117</t>
  </si>
  <si>
    <t>IX. KORPUS  98</t>
  </si>
  <si>
    <t>IX. KORPUS 100</t>
  </si>
  <si>
    <t>ANTLER ALBERT, IX. KORPUS 100, 5000 NOVA GORICA</t>
  </si>
  <si>
    <t>00810012</t>
  </si>
  <si>
    <t>2303-52-9</t>
  </si>
  <si>
    <t>KAJUHOVA 4</t>
  </si>
  <si>
    <t>2304-584-1</t>
  </si>
  <si>
    <t>08002</t>
  </si>
  <si>
    <t>KIDRIČEVA 18 B</t>
  </si>
  <si>
    <t>KIDRIČEVA 18</t>
  </si>
  <si>
    <t>KOVAČEVIČ NEBOJŠA, KIDRIČEVA 18, 5000 NOVA GORICA</t>
  </si>
  <si>
    <t>05140203</t>
  </si>
  <si>
    <t>2304-2391-113</t>
  </si>
  <si>
    <t>00323</t>
  </si>
  <si>
    <t>KIDRIČEVA 18 C</t>
  </si>
  <si>
    <t>SAKSIDA ALEŠ, KIDRIČEVA 18, 5000 NOVA GORICA</t>
  </si>
  <si>
    <t>05140303</t>
  </si>
  <si>
    <t>2304-2391-212</t>
  </si>
  <si>
    <t>02963</t>
  </si>
  <si>
    <t>KIDRIČEVA 29 C</t>
  </si>
  <si>
    <t>KIDRIČEVA 29</t>
  </si>
  <si>
    <t>1950</t>
  </si>
  <si>
    <t>ČUK ANDREJA, KIDRIČEVA 29, 5000 NOVA GORICA</t>
  </si>
  <si>
    <t>00440301</t>
  </si>
  <si>
    <t>2304-1348-206</t>
  </si>
  <si>
    <t>54100</t>
  </si>
  <si>
    <t>KIDRIČEVA 29 B</t>
  </si>
  <si>
    <t>HVALIČ RADA, KIDRIČEVA 29, 5000 NOVA GORICA</t>
  </si>
  <si>
    <t>00440201</t>
  </si>
  <si>
    <t>2304-1348-106</t>
  </si>
  <si>
    <t>00555</t>
  </si>
  <si>
    <t>KIDRIČEVA 30 A</t>
  </si>
  <si>
    <t>KIDRIČEVA 30</t>
  </si>
  <si>
    <t>ARBI NEDOK BOGOMIRA, KIDRIČEVA 30, 5000 NOVA GORICA</t>
  </si>
  <si>
    <t>00450104</t>
  </si>
  <si>
    <t>2304-1325-</t>
  </si>
  <si>
    <t>74200</t>
  </si>
  <si>
    <t>SAMARDŽIČ RUŽA, KIDRIČEVA 30, 5000 NOVA GORICA</t>
  </si>
  <si>
    <t>00450103</t>
  </si>
  <si>
    <t>61100</t>
  </si>
  <si>
    <t>SIMIĐ DRAGO, KIDRIČEVA 30, 5000 NOVA GORICA</t>
  </si>
  <si>
    <t>00450102</t>
  </si>
  <si>
    <t>01393</t>
  </si>
  <si>
    <t>KIDRIČEVA 30/A</t>
  </si>
  <si>
    <t>SPALEVIĆ DANICA, KIDRIČEVA 30/A, 5000 NOVA GORICA</t>
  </si>
  <si>
    <t>00450111</t>
  </si>
  <si>
    <t>11001</t>
  </si>
  <si>
    <t>KIDRIČEVA 31 C</t>
  </si>
  <si>
    <t>HUTINSKI IVAN (VERA), KIDRIČEVA 31, 5000 NOVA GORICA</t>
  </si>
  <si>
    <t>00460301</t>
  </si>
  <si>
    <t>2304-1345-203</t>
  </si>
  <si>
    <t>03277</t>
  </si>
  <si>
    <t>KIDRIČEVA 32 B</t>
  </si>
  <si>
    <t>KIDRIČEVA 32</t>
  </si>
  <si>
    <t>MILIČEVIĆ MILICA, KIDRIČEVA 32, 5000 NOVA GORICA</t>
  </si>
  <si>
    <t>00470202</t>
  </si>
  <si>
    <t>2304-1326-</t>
  </si>
  <si>
    <t>03166</t>
  </si>
  <si>
    <t>MILJAŠEVIĆ SONJA, KIDRIČEVA 32, 5000 NOVA GORICA</t>
  </si>
  <si>
    <t>00470201</t>
  </si>
  <si>
    <t>06800</t>
  </si>
  <si>
    <t>KIDRIČEVA 32 C</t>
  </si>
  <si>
    <t>ŽUPANČIČ FRANC, KIDRIČEVA 32, 5000 NOVA GORICA</t>
  </si>
  <si>
    <t>00470304</t>
  </si>
  <si>
    <t>2304-1326-203</t>
  </si>
  <si>
    <t>14005</t>
  </si>
  <si>
    <t>KIDRIČEVA 33 B</t>
  </si>
  <si>
    <t>KIDRIČEVA 33</t>
  </si>
  <si>
    <t>KAPUS JANEZ, KIDRIČEVA 33, 5000 NOVA GORICA</t>
  </si>
  <si>
    <t>00480201</t>
  </si>
  <si>
    <t>2304-1342-105</t>
  </si>
  <si>
    <t>KIDRIČEVA 34 A</t>
  </si>
  <si>
    <t>2304-1330-5</t>
  </si>
  <si>
    <t>01861</t>
  </si>
  <si>
    <t>KIDRIČEVA 34/A</t>
  </si>
  <si>
    <t>KODERMAC LIVIJA, KIDRIČEVA 34/A, 5000 NOVA GORICA</t>
  </si>
  <si>
    <t>00490107</t>
  </si>
  <si>
    <t>2304-1330-9</t>
  </si>
  <si>
    <t>02651</t>
  </si>
  <si>
    <t>KIDRIČEVA 34</t>
  </si>
  <si>
    <t>KOVIC MARA, KIDRIČEVA 34, 5000  NOVA GORICA</t>
  </si>
  <si>
    <t>00490119</t>
  </si>
  <si>
    <t>2304-1330-10</t>
  </si>
  <si>
    <t>25301</t>
  </si>
  <si>
    <t>KIDRIČEVA 34 B</t>
  </si>
  <si>
    <t>BEGIĆ SABRIJA, KIDRIČEVA 34 B, 5000 NOVA GORICA</t>
  </si>
  <si>
    <t>00490217</t>
  </si>
  <si>
    <t>2304-1330-111</t>
  </si>
  <si>
    <t>02740</t>
  </si>
  <si>
    <t>PIRNAT JOŽICA, KIDRIČEVA 34 B, 5000 NOVA GORICA</t>
  </si>
  <si>
    <t>00490206</t>
  </si>
  <si>
    <t>2304-1330-110</t>
  </si>
  <si>
    <t>38500</t>
  </si>
  <si>
    <t>LIŠTER DANIJEL, KIDRIČEVA 34 B, 5000 NOVA GORICA</t>
  </si>
  <si>
    <t>00490205</t>
  </si>
  <si>
    <t>2304-1330-112</t>
  </si>
  <si>
    <t>08200</t>
  </si>
  <si>
    <t>REPIČ KRISTINA, KIDRIČEVA 34 B, 5000 NOVA GORICA</t>
  </si>
  <si>
    <t>00490218</t>
  </si>
  <si>
    <t>2304-1330-109</t>
  </si>
  <si>
    <t>00463</t>
  </si>
  <si>
    <t>KIDRIČEVA 34 C</t>
  </si>
  <si>
    <t>BAZOVIŠKA 4</t>
  </si>
  <si>
    <t>KOŠARKARSKI KLUB, BAZOVIŠKA 4, 5000 NOVA GORICA</t>
  </si>
  <si>
    <t>00490333</t>
  </si>
  <si>
    <t>2304-1330-210</t>
  </si>
  <si>
    <t>02964</t>
  </si>
  <si>
    <t>LEDINE   2</t>
  </si>
  <si>
    <t>LEDINE 2</t>
  </si>
  <si>
    <t>MALEŠEVIĆ DRAGAN, LEDINE 2, 5000 NOVA GORICA</t>
  </si>
  <si>
    <t>00970005</t>
  </si>
  <si>
    <t>0403</t>
  </si>
  <si>
    <t>2304-232-3</t>
  </si>
  <si>
    <t>07001</t>
  </si>
  <si>
    <t>LEDINE  81</t>
  </si>
  <si>
    <t>LEDINE 81</t>
  </si>
  <si>
    <t>REDNAK IVAN, LEDINE 81, 5000 NOVA GORICA</t>
  </si>
  <si>
    <t>05350000</t>
  </si>
  <si>
    <t>2304-2505-1</t>
  </si>
  <si>
    <t>03426</t>
  </si>
  <si>
    <t>LEDINE  83</t>
  </si>
  <si>
    <t>LEDINE 83</t>
  </si>
  <si>
    <t>ROBIČ KATJA, LEDINE 83, 5000 NOVA GORICA</t>
  </si>
  <si>
    <t>05360000</t>
  </si>
  <si>
    <t>2304-2506-1</t>
  </si>
  <si>
    <t>03575</t>
  </si>
  <si>
    <t>LEDINE  83 A</t>
  </si>
  <si>
    <t>KERŠEVAN ERNA, LEDINE 83 A, 5000 NOVA GORICA</t>
  </si>
  <si>
    <t>05370000</t>
  </si>
  <si>
    <t>2304-2537-1</t>
  </si>
  <si>
    <t>LEDINE 101B</t>
  </si>
  <si>
    <t>2304-267-1</t>
  </si>
  <si>
    <t>66600</t>
  </si>
  <si>
    <t>LEDINE 105 A</t>
  </si>
  <si>
    <t>LEDINE 105A</t>
  </si>
  <si>
    <t>1988</t>
  </si>
  <si>
    <t>KOSTIĆ GORDANA, LEDINE 105A, 5000 NOVA GORICA</t>
  </si>
  <si>
    <t>04510008</t>
  </si>
  <si>
    <t>2304-265-19</t>
  </si>
  <si>
    <t>02091</t>
  </si>
  <si>
    <t>STOLIĆ MARINKO, LEDINE 105A, 5000 NOVA GORICA</t>
  </si>
  <si>
    <t>04510010</t>
  </si>
  <si>
    <t>2304-265-10</t>
  </si>
  <si>
    <t>02417</t>
  </si>
  <si>
    <t>ŠVAGELJ MARIJA, LEDINE 105A, 5000 NOVA GORICA</t>
  </si>
  <si>
    <t>04510009</t>
  </si>
  <si>
    <t>2304-265-16</t>
  </si>
  <si>
    <t>40500</t>
  </si>
  <si>
    <t>LOKVE 30 A</t>
  </si>
  <si>
    <t>TRNOVO</t>
  </si>
  <si>
    <t>TRNOVO PRI GORICI</t>
  </si>
  <si>
    <t>1984</t>
  </si>
  <si>
    <t>SKOK VLASTA, LOKVE 30/A, 5252 TRNOVO PRI GORICI</t>
  </si>
  <si>
    <t>05220001</t>
  </si>
  <si>
    <t>2299-45-1</t>
  </si>
  <si>
    <t>02869</t>
  </si>
  <si>
    <t>MARIJA KOGOJA 1 B</t>
  </si>
  <si>
    <t>M.KOGOJA 1B</t>
  </si>
  <si>
    <t>TODOROVIČ DOBRILA, M.KOGOJA 1B, 5000 NOVA GORICA</t>
  </si>
  <si>
    <t>01170003</t>
  </si>
  <si>
    <t>2304-1809-14</t>
  </si>
  <si>
    <t>12002</t>
  </si>
  <si>
    <t>MARIJA KOGOJA 1C</t>
  </si>
  <si>
    <t>BEGIČ NIJAZ,  M.KOGOJA 1C, 5000 NOVA GORICA</t>
  </si>
  <si>
    <t>01180005</t>
  </si>
  <si>
    <t>2304-1810-3</t>
  </si>
  <si>
    <t>07000</t>
  </si>
  <si>
    <t>OSEK 73</t>
  </si>
  <si>
    <t>ŠEMPAS</t>
  </si>
  <si>
    <t>1910</t>
  </si>
  <si>
    <t>CERNATIČ FRANC, OSEK 73, 5261 ŠEMPAS</t>
  </si>
  <si>
    <t>05130002</t>
  </si>
  <si>
    <t>2312-67-2</t>
  </si>
  <si>
    <t>03064</t>
  </si>
  <si>
    <t>FRANKO MATJAŽ, OSEK 73, 5261 ŠEMPAS</t>
  </si>
  <si>
    <t>05130003</t>
  </si>
  <si>
    <t>2312-67-3</t>
  </si>
  <si>
    <t>03051</t>
  </si>
  <si>
    <t>FANIĆ BEKRIJE, OSEK 73, 5261 ŠEMPAS</t>
  </si>
  <si>
    <t>05130004</t>
  </si>
  <si>
    <t>0703</t>
  </si>
  <si>
    <t>2312-67-4</t>
  </si>
  <si>
    <t>03299</t>
  </si>
  <si>
    <t>MAROŠEVIĆ DRAGANA, OSEK 73, 5261 ŠEMPAS</t>
  </si>
  <si>
    <t>05130006</t>
  </si>
  <si>
    <t>2312-67-6</t>
  </si>
  <si>
    <t>00252</t>
  </si>
  <si>
    <t>SVETINA RUDOLF, OSEK 73, 5261 ŠEMPAS</t>
  </si>
  <si>
    <t>05130005</t>
  </si>
  <si>
    <t>2312-67-5</t>
  </si>
  <si>
    <t>47900</t>
  </si>
  <si>
    <t>OZELJAN  2</t>
  </si>
  <si>
    <t>OZELJAN 2</t>
  </si>
  <si>
    <t>GERČMAN ANICA, OZELJAN 2, 5261 ŠEMPAS</t>
  </si>
  <si>
    <t>03300002</t>
  </si>
  <si>
    <t>2310-2-1</t>
  </si>
  <si>
    <t>03096</t>
  </si>
  <si>
    <t>KOPČIČ RUDOLF, OZELJAN 2, 5261 ŠEMPAS</t>
  </si>
  <si>
    <t>03300005</t>
  </si>
  <si>
    <t>2310-2-5</t>
  </si>
  <si>
    <t>03500</t>
  </si>
  <si>
    <t>Šempas</t>
  </si>
  <si>
    <t>KOSTADINOVSKI SAŠA, OZELJAN 2, 5261 ŠEMPAS</t>
  </si>
  <si>
    <t>03300006</t>
  </si>
  <si>
    <t>2310-2-4</t>
  </si>
  <si>
    <t>03682</t>
  </si>
  <si>
    <t>ŠEBJANIČ KRISTINA, OZELJAN 2, 5261 ŠEMPAS</t>
  </si>
  <si>
    <t>03300001</t>
  </si>
  <si>
    <t>2310-2-2</t>
  </si>
  <si>
    <t>47500</t>
  </si>
  <si>
    <t>KROFIČ MARIJA, OZELJAN 2, 5261 ŠEMPAS</t>
  </si>
  <si>
    <t>03300003</t>
  </si>
  <si>
    <t>2310-2-3</t>
  </si>
  <si>
    <t>PRVAČINA 20</t>
  </si>
  <si>
    <t>2320-980-1</t>
  </si>
  <si>
    <t>2320-980-2</t>
  </si>
  <si>
    <t>PRVAČINA 98A</t>
  </si>
  <si>
    <t>2320-134-2</t>
  </si>
  <si>
    <t>2320-134-7</t>
  </si>
  <si>
    <t>2320-134-3</t>
  </si>
  <si>
    <t>2320-134-6</t>
  </si>
  <si>
    <t>2320-134-8</t>
  </si>
  <si>
    <t>2320-134-11</t>
  </si>
  <si>
    <t>2320-134-9</t>
  </si>
  <si>
    <t>2320-134-12</t>
  </si>
  <si>
    <t>2320-134-4</t>
  </si>
  <si>
    <t>2320-134-1</t>
  </si>
  <si>
    <t>2320-134-5</t>
  </si>
  <si>
    <t>PRVAČINA 98B</t>
  </si>
  <si>
    <t>2320-134-106</t>
  </si>
  <si>
    <t>2320-134-104</t>
  </si>
  <si>
    <t>2320-134-101</t>
  </si>
  <si>
    <t>2320-134-107</t>
  </si>
  <si>
    <t>2320-134-103</t>
  </si>
  <si>
    <t>2320-134-105</t>
  </si>
  <si>
    <t>2320-134-102</t>
  </si>
  <si>
    <t>PRVOMAJSKA 23</t>
  </si>
  <si>
    <t>2304-2741-15</t>
  </si>
  <si>
    <t>08001</t>
  </si>
  <si>
    <t>PREŠERNOVA  1</t>
  </si>
  <si>
    <t>TOMIĆ DUŠAN, PREŠERNOVA  1, 5000 NOVA GORICA</t>
  </si>
  <si>
    <t>04600001</t>
  </si>
  <si>
    <t>2304-1409-1</t>
  </si>
  <si>
    <t>14004</t>
  </si>
  <si>
    <t>RUTARJEVA  2</t>
  </si>
  <si>
    <t>RUTARJEVA 2</t>
  </si>
  <si>
    <t>ČERTALIČ VERA, RUTARJEVA 2, 5000 NOVA GORICA</t>
  </si>
  <si>
    <t>01520002</t>
  </si>
  <si>
    <t>2304-1435-17</t>
  </si>
  <si>
    <t>37800</t>
  </si>
  <si>
    <t>RUTARJEVA  4 A</t>
  </si>
  <si>
    <t>RUTARJEVA 4 A</t>
  </si>
  <si>
    <t>1953</t>
  </si>
  <si>
    <t>VEBER BRANKO, RUTARJEVA 4 A, 5000 NOVA GORICA</t>
  </si>
  <si>
    <t>01540101</t>
  </si>
  <si>
    <t>2304-1420-6</t>
  </si>
  <si>
    <t>00856</t>
  </si>
  <si>
    <t>RUTARJEVA  4 C</t>
  </si>
  <si>
    <t>RUTARJEVA 4 C</t>
  </si>
  <si>
    <t>STROSAR JULIJ, RUTARJEVA 4 C, 5000 NOVA GORICA</t>
  </si>
  <si>
    <t>01540302</t>
  </si>
  <si>
    <t>2304-1420-208</t>
  </si>
  <si>
    <t>61600</t>
  </si>
  <si>
    <t>RUTARJEVA  6</t>
  </si>
  <si>
    <t>RUTARJEVA 6</t>
  </si>
  <si>
    <t>ZALOŽNIK MARIJA, RUTARJEVA 6, 5000 NOVA GORICA</t>
  </si>
  <si>
    <t>01550003</t>
  </si>
  <si>
    <t>2304-1423-3</t>
  </si>
  <si>
    <t>00325</t>
  </si>
  <si>
    <t>RUTARJEVA  8</t>
  </si>
  <si>
    <t>DREŠČEK ZOFIJA, RUTARJEVA 8, 5000 NOVA GORICA</t>
  </si>
  <si>
    <t>01570005</t>
  </si>
  <si>
    <t>2304-1424-19</t>
  </si>
  <si>
    <t>48200</t>
  </si>
  <si>
    <t>RUTARJEVA 8</t>
  </si>
  <si>
    <t>GERBEC SONJA, RUTARJEVA 8, 5000 NOVA GORICA</t>
  </si>
  <si>
    <t>01570001</t>
  </si>
  <si>
    <t>2304-1424-5</t>
  </si>
  <si>
    <t>RUTARJEVA 10</t>
  </si>
  <si>
    <t>BESEDNJAK SLAVKA, RUTARJEVA 10, 5000 NOVA GORICA</t>
  </si>
  <si>
    <t>01510004</t>
  </si>
  <si>
    <t>2304-1425-3</t>
  </si>
  <si>
    <t>14003</t>
  </si>
  <si>
    <t>STRELIŠKA  8</t>
  </si>
  <si>
    <t>STRELIŠKA 8</t>
  </si>
  <si>
    <t>ŠKRL SILVO, STRELIŠKA 8, 5000 NOVA GORICA</t>
  </si>
  <si>
    <t>01630003</t>
  </si>
  <si>
    <t>2304-1879-1</t>
  </si>
  <si>
    <t>01574</t>
  </si>
  <si>
    <t>STRELIŠKA 10</t>
  </si>
  <si>
    <t>BIZJAK ANTON, STRELIŠKA 10, 5000 NOVA GORICA</t>
  </si>
  <si>
    <t>01620005</t>
  </si>
  <si>
    <t>2304-1847-4</t>
  </si>
  <si>
    <t>02173</t>
  </si>
  <si>
    <t>KOMIC JOŽEFA, STRELIŠKA 10, 5000 NOVA GORICA</t>
  </si>
  <si>
    <t>01620003</t>
  </si>
  <si>
    <t>2304-1847-6</t>
  </si>
  <si>
    <t>02418</t>
  </si>
  <si>
    <t>KRIZANIČ JOŽEF, STRELIŠKA 10, 5000 NOVA GORICA</t>
  </si>
  <si>
    <t>01620002</t>
  </si>
  <si>
    <t>2304-1847-8</t>
  </si>
  <si>
    <t>33700</t>
  </si>
  <si>
    <t>PONORAC PETER, STRELIŠKA 10, 5000 NOVA GORICA</t>
  </si>
  <si>
    <t>01620006</t>
  </si>
  <si>
    <t>2304-1847-5</t>
  </si>
  <si>
    <t>02033</t>
  </si>
  <si>
    <t>ŽBOGAR SILVA, STRELIŠKA 10, 5000 NOVA GORICA</t>
  </si>
  <si>
    <t>01620004</t>
  </si>
  <si>
    <t>2304-1847-3</t>
  </si>
  <si>
    <t>2304-1847-7</t>
  </si>
  <si>
    <t>2304-1847-2</t>
  </si>
  <si>
    <t>03243</t>
  </si>
  <si>
    <t>STRELIŠKA 14</t>
  </si>
  <si>
    <t>2000</t>
  </si>
  <si>
    <t>LOVERČIČ IZIDOR, STRELIŠKA 14,   5000 NOVA GORICA</t>
  </si>
  <si>
    <t>05470004</t>
  </si>
  <si>
    <t>2304-1845-2</t>
  </si>
  <si>
    <t>03459</t>
  </si>
  <si>
    <t>IPAVEC JULIJANA, STRELIŠKA 14, 5000 NOVA GORICA</t>
  </si>
  <si>
    <t>05470005</t>
  </si>
  <si>
    <t>2304-1845-7</t>
  </si>
  <si>
    <t>48400</t>
  </si>
  <si>
    <t>BITEŽNIK TANJA, STRELIŠKA 14, 5000 NOVA GORICA</t>
  </si>
  <si>
    <t>05470007</t>
  </si>
  <si>
    <t>2304-1845-5</t>
  </si>
  <si>
    <t>03733</t>
  </si>
  <si>
    <t>BESEDNJAK SUHADOLNIK ARIANA, STRELIŠKA 14,   NOVA GORICA</t>
  </si>
  <si>
    <t>05470010</t>
  </si>
  <si>
    <t>2304-1845-10</t>
  </si>
  <si>
    <t>00021</t>
  </si>
  <si>
    <t>ŠULIGOJ EDVIN, STRELIŠKA 14, 5000 NOVA GORICA</t>
  </si>
  <si>
    <t>05470003</t>
  </si>
  <si>
    <t>2304-1845-3</t>
  </si>
  <si>
    <t>02078</t>
  </si>
  <si>
    <t>BIZJAK MARKO</t>
  </si>
  <si>
    <t>05470001</t>
  </si>
  <si>
    <t>2304-1845-1</t>
  </si>
  <si>
    <t>13700</t>
  </si>
  <si>
    <t>STANOVANJSKI SKLAD MESTNE OBČINE NOVA GORICA, TRG E. KARDELJA 1, 5000 NOVA GORICA</t>
  </si>
  <si>
    <t>05470011</t>
  </si>
  <si>
    <t>2304-1845-11</t>
  </si>
  <si>
    <t>00421</t>
  </si>
  <si>
    <t>VIHER DANIJELA, STRELIŠKA 14,  5000 NOVA GORICA</t>
  </si>
  <si>
    <t>05470006</t>
  </si>
  <si>
    <t>2304-1845-6</t>
  </si>
  <si>
    <t>00960</t>
  </si>
  <si>
    <t>VULES MIJA, STRELIŠKA 14,   5000 NOVA GORICA</t>
  </si>
  <si>
    <t>05470012</t>
  </si>
  <si>
    <t>2304-1845-12</t>
  </si>
  <si>
    <t>ZAJEC ZLATKO, STRELIŠKA 14,   5000 NOVA GORICA</t>
  </si>
  <si>
    <t>05470009</t>
  </si>
  <si>
    <t>2304-1845-9</t>
  </si>
  <si>
    <t>00933</t>
  </si>
  <si>
    <t>ŠOLSKA ULICA 25</t>
  </si>
  <si>
    <t>REMEC CVETKO, ŠOLSKA ULICA 25, 5250 SOLKAN</t>
  </si>
  <si>
    <t>05630001</t>
  </si>
  <si>
    <t>2304-1845-4</t>
  </si>
  <si>
    <t>ŠEMPAS 9</t>
  </si>
  <si>
    <t>2313-826-4</t>
  </si>
  <si>
    <t>2313-826-17</t>
  </si>
  <si>
    <t>2313-826-10</t>
  </si>
  <si>
    <t>2313-826-24</t>
  </si>
  <si>
    <t>2313-826-16</t>
  </si>
  <si>
    <t>2313-826-15</t>
  </si>
  <si>
    <t>2313-826-5</t>
  </si>
  <si>
    <t>2313-826-2</t>
  </si>
  <si>
    <t>2313-826-18</t>
  </si>
  <si>
    <t>TABOR 14</t>
  </si>
  <si>
    <t>2335-406-1</t>
  </si>
  <si>
    <t>02976</t>
  </si>
  <si>
    <t>TOLMINSKIH PUNTARJEV  2 A</t>
  </si>
  <si>
    <t>TOLMINSKIH PUNTARJEV 2 A</t>
  </si>
  <si>
    <t>FRANKO METKA, TOLMINSKIH PUNTARJEV 2, 5000 NOVA GORICA</t>
  </si>
  <si>
    <t>02270127</t>
  </si>
  <si>
    <t>2304-581-27</t>
  </si>
  <si>
    <t>00831</t>
  </si>
  <si>
    <t>MRŠNIK SAVINA, TOLMINSKIH PUNTARJEV 2, 5000 NOVA GORICA</t>
  </si>
  <si>
    <t>02270101</t>
  </si>
  <si>
    <t>2304-581-1</t>
  </si>
  <si>
    <t>2304-581-40</t>
  </si>
  <si>
    <t>12001</t>
  </si>
  <si>
    <t>TOLMINSKIH PUNTARJEV  2 B</t>
  </si>
  <si>
    <t>TOLMINSKIH PUNTARJEV 2 B</t>
  </si>
  <si>
    <t>DROLE ERNESTA, TOLMINSKIH PUNTARJEV 2, 5000 NOVA GORICA</t>
  </si>
  <si>
    <t>02270275</t>
  </si>
  <si>
    <t>2304-581-123</t>
  </si>
  <si>
    <t>02209</t>
  </si>
  <si>
    <t>ŽIKOVIČ IVANKA, TOLMINSKIH PUNTARJEV 2, 5000 NOVA GORICA</t>
  </si>
  <si>
    <t>02270269</t>
  </si>
  <si>
    <t>2304-581-45</t>
  </si>
  <si>
    <t>2304-581-121</t>
  </si>
  <si>
    <t>2304-581-146</t>
  </si>
  <si>
    <t>2304-581-117</t>
  </si>
  <si>
    <t>TOLMINSKIH PUNTARJEV 2B</t>
  </si>
  <si>
    <t>2304-581-150</t>
  </si>
  <si>
    <t>TOLMIN.PUNTARJEV 10</t>
  </si>
  <si>
    <t>2304-588-8</t>
  </si>
  <si>
    <t>TRUBARJEVA 7A</t>
  </si>
  <si>
    <t>2304-2731-10</t>
  </si>
  <si>
    <t>2304-2731-14</t>
  </si>
  <si>
    <t>2304-2731-5</t>
  </si>
  <si>
    <t>2304-2731-8</t>
  </si>
  <si>
    <t>2304-2731-12</t>
  </si>
  <si>
    <t>2304-2731-4</t>
  </si>
  <si>
    <t>2304-2731-6</t>
  </si>
  <si>
    <t>2304-2731-11</t>
  </si>
  <si>
    <t>2304-2731-1</t>
  </si>
  <si>
    <t>2304-2731-7</t>
  </si>
  <si>
    <t>303</t>
  </si>
  <si>
    <t>2304-2731-2</t>
  </si>
  <si>
    <t>TRUBARJEVA 7B</t>
  </si>
  <si>
    <t>2304-2731-107</t>
  </si>
  <si>
    <t>2304-2731-111</t>
  </si>
  <si>
    <t>2304-2731-104</t>
  </si>
  <si>
    <t>2304-2731-103</t>
  </si>
  <si>
    <t>2304-2731-105</t>
  </si>
  <si>
    <t>2304-2731-106</t>
  </si>
  <si>
    <t>2304-2731-101</t>
  </si>
  <si>
    <t>2304-2731-113</t>
  </si>
  <si>
    <t>2304-2731-109</t>
  </si>
  <si>
    <t>2304-2731-114</t>
  </si>
  <si>
    <t>2304-2731-110</t>
  </si>
  <si>
    <t>03643</t>
  </si>
  <si>
    <t>TRUBARJEVA 11/C</t>
  </si>
  <si>
    <t>ROGANOVIČ ANA,TRUBARJEVA 11/C,5000 NOVA GORICA</t>
  </si>
  <si>
    <t>01650303</t>
  </si>
  <si>
    <t>2304-1440-21</t>
  </si>
  <si>
    <t>62800</t>
  </si>
  <si>
    <t>URŠIČ RENATA, TRUBARJEVA 11, 5000 NOVA GORICA</t>
  </si>
  <si>
    <t>01650302</t>
  </si>
  <si>
    <t>2304-1440-22</t>
  </si>
  <si>
    <t>02072</t>
  </si>
  <si>
    <t>TRUBARJEVA 18</t>
  </si>
  <si>
    <t>ŠTOKELJ ALENKA, TRUBARJEVA 18, 5000 NOVA GORICA</t>
  </si>
  <si>
    <t>01690002</t>
  </si>
  <si>
    <t>2304-1436-3</t>
  </si>
  <si>
    <t>ULICA ŠANTLOVIH 2</t>
  </si>
  <si>
    <t>2304-2766-214</t>
  </si>
  <si>
    <t>2304-2766-205</t>
  </si>
  <si>
    <t>2304-2766-208</t>
  </si>
  <si>
    <t>2304-2766-202</t>
  </si>
  <si>
    <t>2304-2766-212</t>
  </si>
  <si>
    <t>2304-2766-201</t>
  </si>
  <si>
    <t>2304-2766-206</t>
  </si>
  <si>
    <t>ULICA ŠANTLOVIH 4</t>
  </si>
  <si>
    <t>2304-2766-108</t>
  </si>
  <si>
    <t>2304-2766-107</t>
  </si>
  <si>
    <t>2304-2766-113</t>
  </si>
  <si>
    <t>2304-2766-112</t>
  </si>
  <si>
    <t>2304-2766-102</t>
  </si>
  <si>
    <t>2304-2766-114</t>
  </si>
  <si>
    <t>2304-2766-105</t>
  </si>
  <si>
    <t>2304-2766-115</t>
  </si>
  <si>
    <t>2304-2766-109</t>
  </si>
  <si>
    <t>ULICA ŠANTLOVIH 6</t>
  </si>
  <si>
    <t>2304-2766-13</t>
  </si>
  <si>
    <t>2304-2766-10</t>
  </si>
  <si>
    <t>2304-2766-7</t>
  </si>
  <si>
    <t>2304-2766-3</t>
  </si>
  <si>
    <t>56500</t>
  </si>
  <si>
    <t>VINKA VODOPIVCA 103/A</t>
  </si>
  <si>
    <t>1998</t>
  </si>
  <si>
    <t>BATISTA LIDIJA, VINKA VODOPIVCA 103/A, 5000 NOVA GORICA</t>
  </si>
  <si>
    <t>05410006</t>
  </si>
  <si>
    <t>2302-545-3</t>
  </si>
  <si>
    <t>02757</t>
  </si>
  <si>
    <t>ŠUŠMELJ DEAN, VINKA VODOPIVCA 103/A, 5000 NOVA GORICA</t>
  </si>
  <si>
    <t>05410005</t>
  </si>
  <si>
    <t>2302-545-4</t>
  </si>
  <si>
    <t>02073</t>
  </si>
  <si>
    <t>VINKA VODOPIVCA 103/C</t>
  </si>
  <si>
    <t>STANKOVIĆ RADOMIR, VINKA VODOPIVCA 103/C, 5000 NOVA GORICA</t>
  </si>
  <si>
    <t>05410035</t>
  </si>
  <si>
    <t>2302-545-209</t>
  </si>
  <si>
    <t>07600</t>
  </si>
  <si>
    <t>VINKA VODOPIVCA 103/B</t>
  </si>
  <si>
    <t>FRANCA BALIČA 23</t>
  </si>
  <si>
    <t>ŠUŠMELJ ANDREJ, FRANCA BALIČA 23, 5290 ŠEMPETER</t>
  </si>
  <si>
    <t>05410004</t>
  </si>
  <si>
    <t>2302-545-102</t>
  </si>
  <si>
    <t>58800</t>
  </si>
  <si>
    <t>BREMEC LUCIJA, VINKA VODOPIVCA 103/C, 5000 NOVA GORICA</t>
  </si>
  <si>
    <t>05410031</t>
  </si>
  <si>
    <t>2302-545-205</t>
  </si>
  <si>
    <t>01953</t>
  </si>
  <si>
    <t>VOJKOVA  8, SOLKAN</t>
  </si>
  <si>
    <t>VOJKOVA 8</t>
  </si>
  <si>
    <t>1986</t>
  </si>
  <si>
    <t>GAJSAR ANTON, VOJKOVA 8, 5250 SOLKAN</t>
  </si>
  <si>
    <t>04410015</t>
  </si>
  <si>
    <t>2303-480-411</t>
  </si>
  <si>
    <t>01115</t>
  </si>
  <si>
    <t>IPAVEC LUCIJA, VOJKOVA 8, 5250 SOLKAN</t>
  </si>
  <si>
    <t>04410014</t>
  </si>
  <si>
    <t>2303-480-414</t>
  </si>
  <si>
    <t>02296</t>
  </si>
  <si>
    <t>KOKAŠ ŠTEFAN, VOJKOVA 8, 5250 SOLKAN</t>
  </si>
  <si>
    <t>04410016</t>
  </si>
  <si>
    <t>2303-480-416</t>
  </si>
  <si>
    <t>02070</t>
  </si>
  <si>
    <t>SAVIĆ PETRA, VOJKOVA 8, 5250 SOLKAN</t>
  </si>
  <si>
    <t>04410012</t>
  </si>
  <si>
    <t>2303-480-422</t>
  </si>
  <si>
    <t>03570</t>
  </si>
  <si>
    <t>Vojkova 101A</t>
  </si>
  <si>
    <t>2304-663-1</t>
  </si>
  <si>
    <t>02703</t>
  </si>
  <si>
    <t>2304-663-3</t>
  </si>
  <si>
    <t>03069</t>
  </si>
  <si>
    <t>2304-663-2</t>
  </si>
  <si>
    <t>02756</t>
  </si>
  <si>
    <t>Vojkova 101B</t>
  </si>
  <si>
    <t>2304-663-17</t>
  </si>
  <si>
    <t>02951</t>
  </si>
  <si>
    <t>2304-663-19</t>
  </si>
  <si>
    <t>03699</t>
  </si>
  <si>
    <t>2304-663-14</t>
  </si>
  <si>
    <t>42600</t>
  </si>
  <si>
    <t>2304-663-13</t>
  </si>
  <si>
    <t>01966</t>
  </si>
  <si>
    <t>Vojkova 103A</t>
  </si>
  <si>
    <t>2304-661-6</t>
  </si>
  <si>
    <t>03514</t>
  </si>
  <si>
    <t>2304-661-2</t>
  </si>
  <si>
    <t>00454</t>
  </si>
  <si>
    <t>2304-661-4</t>
  </si>
  <si>
    <t>67600</t>
  </si>
  <si>
    <t>Vojkova 103B</t>
  </si>
  <si>
    <t>2304-661-9</t>
  </si>
  <si>
    <t>21900</t>
  </si>
  <si>
    <t>2304-661-11</t>
  </si>
  <si>
    <t>02901</t>
  </si>
  <si>
    <t>2304-661-13</t>
  </si>
  <si>
    <t>02739</t>
  </si>
  <si>
    <t>Vojkova 105A</t>
  </si>
  <si>
    <t>2304-659-2</t>
  </si>
  <si>
    <t>03424</t>
  </si>
  <si>
    <t>2304-659-6</t>
  </si>
  <si>
    <t>01753</t>
  </si>
  <si>
    <t>Vojkova 105b</t>
  </si>
  <si>
    <t>2304-659-11</t>
  </si>
  <si>
    <t>02765</t>
  </si>
  <si>
    <t>Vojkova 107A</t>
  </si>
  <si>
    <t>2304-657-2</t>
  </si>
  <si>
    <t>03417</t>
  </si>
  <si>
    <t>XXX. DIVIZIJE 13 A</t>
  </si>
  <si>
    <t>1989</t>
  </si>
  <si>
    <t>IKONIČ RADENKO, XXX. DIVIZIJE 13 A, 5000 NOVA GORICA</t>
  </si>
  <si>
    <t>04520108</t>
  </si>
  <si>
    <t>2304-925-5</t>
  </si>
  <si>
    <t>39600</t>
  </si>
  <si>
    <t>XXX. DIVIZIJE 15 B</t>
  </si>
  <si>
    <t>KORDIČ ROJC ERVIN, XXX. DIVIZIJE 15 B, 5000 NOVA GORICA</t>
  </si>
  <si>
    <t>04480211</t>
  </si>
  <si>
    <t>2304-930-105</t>
  </si>
  <si>
    <t>XXX. DIVIZIJE 15B</t>
  </si>
  <si>
    <t>2304-930-103</t>
  </si>
  <si>
    <t>03322</t>
  </si>
  <si>
    <t>XXX. DIVIZIJE 15 C</t>
  </si>
  <si>
    <t>XXX. DIVIZIJE 15/C</t>
  </si>
  <si>
    <t>VASIČ ZORAN, XXX. DIVIZIJE 15/C, 5000 NOVA GORICA</t>
  </si>
  <si>
    <t>04480319</t>
  </si>
  <si>
    <t>2304-930-203</t>
  </si>
  <si>
    <t>XXX.DIVIZIJE 15 C</t>
  </si>
  <si>
    <t>2304-930-213</t>
  </si>
  <si>
    <t>02172</t>
  </si>
  <si>
    <t>XXX. DIVIZIJE 15 D</t>
  </si>
  <si>
    <t>PETRIĆ VALADŽIĆ NADA, XXX. DIVIZIJE 15 D, 5000 NOVA GORICA</t>
  </si>
  <si>
    <t>04480410</t>
  </si>
  <si>
    <t>2304-930-313</t>
  </si>
  <si>
    <t>01768</t>
  </si>
  <si>
    <t>XXX. DIVIZIJE 17</t>
  </si>
  <si>
    <t>VASLE JANEZ, XXX. DIVIZIJE 17, 5000 NOVA GORICA</t>
  </si>
  <si>
    <t>04530006</t>
  </si>
  <si>
    <t>2304-927-13</t>
  </si>
  <si>
    <t>02400</t>
  </si>
  <si>
    <t>XXX. DIVIZIJE 19 B</t>
  </si>
  <si>
    <t>BREMEC MIRAN, XXX. DIVIZIJE 19B, 5000 NOVA GORICA</t>
  </si>
  <si>
    <t>05090211</t>
  </si>
  <si>
    <t>2304-932-111</t>
  </si>
  <si>
    <t>03086</t>
  </si>
  <si>
    <t>KOBAN MIRELA, XXX.DIVIZIJE 19 B, 5000 NOVA GORICA</t>
  </si>
  <si>
    <t>05090209</t>
  </si>
  <si>
    <t>2304-932-107</t>
  </si>
  <si>
    <t>02220</t>
  </si>
  <si>
    <t>XXX. DIVIZIJE 3 A, 5B</t>
  </si>
  <si>
    <t>XXX. DIVIZIJE 3 A</t>
  </si>
  <si>
    <t>2001</t>
  </si>
  <si>
    <t>PEGAN ALEŠ, XXX. DIVIZIJE 3 A, 5000 NOVA GORICA</t>
  </si>
  <si>
    <t>05500105</t>
  </si>
  <si>
    <t>2304-1186-5</t>
  </si>
  <si>
    <t>01413</t>
  </si>
  <si>
    <t>XXX. DIVIZIJE 3 A, 8B</t>
  </si>
  <si>
    <t>XXX. DIVIZIJE 3/A</t>
  </si>
  <si>
    <t>VIŠIN ALENKA, XXX. DIVIZIJE 3/A, 5000 NOVA GORICA</t>
  </si>
  <si>
    <t>05500108</t>
  </si>
  <si>
    <t>2304-1186-8</t>
  </si>
  <si>
    <t>02763</t>
  </si>
  <si>
    <t>XXX. DIVIZIJE 3 B,</t>
  </si>
  <si>
    <t>XXX. DIVIZIJE 3/B</t>
  </si>
  <si>
    <t>LAZAREVIĆ LJUBICA, XXX. DIVIZIJE 3B, 5000 NOVA GORICA</t>
  </si>
  <si>
    <t>05500213</t>
  </si>
  <si>
    <t>0303</t>
  </si>
  <si>
    <t>2304-1186-112</t>
  </si>
  <si>
    <t>Skupaj</t>
  </si>
  <si>
    <t>POMOŽNI OBJEKTI:</t>
  </si>
  <si>
    <t>Erjavčeva ul. 45 (lesen pritlični pomožni objekt)</t>
  </si>
  <si>
    <t>Grgar 30, Grgar (masiven pritlični pomožni objekt)</t>
  </si>
  <si>
    <t>Ozevljan 2, Ozeljan (masiven pritlični pomožni objekt)</t>
  </si>
  <si>
    <t>Čepovan 159, Čepovan (lesen pritlični pomožni objekt)</t>
  </si>
  <si>
    <t>LOKACIJA (točen naslov in oznaka npr. glavna stavba, novi del, prizidek….)</t>
  </si>
  <si>
    <t>ZAVAROVALNA VSOTA OBJEKT</t>
  </si>
  <si>
    <t>ZAV. VSOTA OPREME V OBJEKTU</t>
  </si>
  <si>
    <t>KS BRANIK</t>
  </si>
  <si>
    <t>Branik 75 (dvorana in poslovni prostori)</t>
  </si>
  <si>
    <t>1976, 2004, 2014</t>
  </si>
  <si>
    <t xml:space="preserve">76 menjava strehe, 2004 menjava 5 kom vrat in oken, 2014 menjava ostalih vrat in oken </t>
  </si>
  <si>
    <t>Zadružni dom Preserje nad Branikom, Preserje 25</t>
  </si>
  <si>
    <t>Objekt OŠ Spodnja Branica</t>
  </si>
  <si>
    <t>Avtobusna čakalnica v polju</t>
  </si>
  <si>
    <t xml:space="preserve">Avtobusna čakalnica pri marketu </t>
  </si>
  <si>
    <t>Avtobusna čakalnica pri Birsih</t>
  </si>
  <si>
    <t>2</t>
  </si>
  <si>
    <t>KS OZELJAN</t>
  </si>
  <si>
    <t>Grad v Ozeljanu (večnamenska dvorana) ; Ozeljan 92</t>
  </si>
  <si>
    <t xml:space="preserve">Celotna ureditev  večnamenske dvorane in prostorov KS. </t>
  </si>
  <si>
    <t>Masivna</t>
  </si>
  <si>
    <t>476 m/2</t>
  </si>
  <si>
    <t>Bivša trgovina v Ozeljanu; Ozeljan 49b</t>
  </si>
  <si>
    <t>streha, fasada, okna in vrata</t>
  </si>
  <si>
    <t>Montažna</t>
  </si>
  <si>
    <t>180m/2</t>
  </si>
  <si>
    <t>Mrliška vežica Ozeljan</t>
  </si>
  <si>
    <t>60m/2</t>
  </si>
  <si>
    <t>3</t>
  </si>
  <si>
    <t>KS RAVNICA</t>
  </si>
  <si>
    <t>Ravnica 9</t>
  </si>
  <si>
    <t>menjava strešne kritine, menjava oken in vrat (2012), sanacija stropov (2013), obnova sanitarij (2014) ter barvanje fasade (2014). Obnova gostinskega lokala je bila v celoti izvedena v l. 2010.</t>
  </si>
  <si>
    <t>masivna gradnja</t>
  </si>
  <si>
    <t>210m2</t>
  </si>
  <si>
    <t>Mrliška vežica Ravnica</t>
  </si>
  <si>
    <t>25 m2</t>
  </si>
  <si>
    <t>Oder za prireditve ob igrišču</t>
  </si>
  <si>
    <t>Montažni objekt ob igrišču</t>
  </si>
  <si>
    <t>montažna</t>
  </si>
  <si>
    <t>12 m2</t>
  </si>
  <si>
    <t>4</t>
  </si>
  <si>
    <t>KS ROŽNA DOLINA</t>
  </si>
  <si>
    <t>DOM KS Rožna Dolina, Vipavska c.16B</t>
  </si>
  <si>
    <t>sanacija fasade 2011,menjava strešnih oken 2014</t>
  </si>
  <si>
    <t>DOM KS Rožna Dolina, Stara Gora</t>
  </si>
  <si>
    <t>Avtobusno postajališče Rožna Dolina 1</t>
  </si>
  <si>
    <t>Avtobusno postajališče Rožna Dolina 2</t>
  </si>
  <si>
    <t>Avtobusno postajališče Zg. Ajševica 1</t>
  </si>
  <si>
    <t>Avtobusno postajališče Zg. Ajševica 2</t>
  </si>
  <si>
    <t>Avtobusno postajališče Sp. Ajševica 1</t>
  </si>
  <si>
    <t>Avtobusno postajališče Sp. Ajševica 2</t>
  </si>
  <si>
    <t>Avtobusno postajališče Pri bajti</t>
  </si>
  <si>
    <t>KS TRNOVO</t>
  </si>
  <si>
    <t>Trnovo 37 (dvorana Trnovo)</t>
  </si>
  <si>
    <t>Sreha 2010, okna 2012</t>
  </si>
  <si>
    <t>Bivši sedež krajevne skupnosti Trnovo 39</t>
  </si>
  <si>
    <t>Mrliška vežica</t>
  </si>
  <si>
    <t>Avtobusno postajališče</t>
  </si>
  <si>
    <t>KS KROMBERK - LOKE</t>
  </si>
  <si>
    <t>Dom kulture Kromberk (dvorana), Ul. Vinka Vodopivca 90, 5000 Nova Gorica</t>
  </si>
  <si>
    <t xml:space="preserve">zgrajen leta 1936, delno dozidan in rekonstruiran leta 1978 </t>
  </si>
  <si>
    <t>adaptacija obstoječega objekta in novogradnja prizidka - gradbeno obrtniška in inštalacijska dela.</t>
  </si>
  <si>
    <t>masivna gradnja (beton, siporex, jeklena konstrukcija, opeka)</t>
  </si>
  <si>
    <t>548,10 m2</t>
  </si>
  <si>
    <t xml:space="preserve">Nadstrešek doma kulture na Ul. Vinka Vodopivca; 50 m2 </t>
  </si>
  <si>
    <t>kovinska konstrukcija z polikarbonat kritino</t>
  </si>
  <si>
    <t>7</t>
  </si>
  <si>
    <t>KS NOVA GORICA</t>
  </si>
  <si>
    <t>Erjavčeva 4, 5000 Nova Gorica, glavna stavba</t>
  </si>
  <si>
    <t>1979, 2007, 2010, 2011, 2012</t>
  </si>
  <si>
    <t>1979-obnova stavbe, 2007 - menjava oken, 2010 - menjava vhodnih vrat in obnova vhoda, 2011 - sanacijsa vlažnih zidov, stopnišča in hodnika, 2012 - obnova fasade</t>
  </si>
  <si>
    <r>
      <t>276 m</t>
    </r>
    <r>
      <rPr>
        <sz val="11"/>
        <color indexed="8"/>
        <rFont val="Arial"/>
        <family val="2"/>
        <charset val="238"/>
      </rPr>
      <t>²</t>
    </r>
  </si>
  <si>
    <t>KS GRGARSKE RAVNE</t>
  </si>
  <si>
    <t>VEČNAMENSJA DVORANA: Grgarske ranve 30, Grgar</t>
  </si>
  <si>
    <t>pločevina</t>
  </si>
  <si>
    <t>250.000.00</t>
  </si>
  <si>
    <t>Objekt na pokopališču Bate, Bate BŠ, Grgar</t>
  </si>
  <si>
    <t>opečna kritina</t>
  </si>
  <si>
    <t>Otroška igrala (oprema na prostem), Grgarske ravne 30, Grgar</t>
  </si>
  <si>
    <t>KS SOLKAN</t>
  </si>
  <si>
    <t>Objekt pokrito kotalkališče pri bivši stražnici v Solkanu</t>
  </si>
  <si>
    <t>zaprtje stranic z umetno maso</t>
  </si>
  <si>
    <t>lesena konstrukcija</t>
  </si>
  <si>
    <t>umetna masa</t>
  </si>
  <si>
    <t>1920 m2</t>
  </si>
  <si>
    <t>Etažna lastnina na Cesti IX. Korpusa 46 v Solkanu</t>
  </si>
  <si>
    <t>60 m2</t>
  </si>
  <si>
    <t>Pripojeni enonadstropni zgradbi na Soški 29 in 31 v Solkanu</t>
  </si>
  <si>
    <t>obnova v celoti</t>
  </si>
  <si>
    <t>220 m2</t>
  </si>
  <si>
    <t>Objekt slačilnica ob Žogici na Soški cesti 52 v Solkanu</t>
  </si>
  <si>
    <t>27 m2</t>
  </si>
  <si>
    <t>Objekt na naslovu Trg Jožeta Srebrniča 7 v Solkanu</t>
  </si>
  <si>
    <t xml:space="preserve">465 m2 </t>
  </si>
  <si>
    <t xml:space="preserve">zavaruje se 465m2 od 689m2, ki so v lasti MONG - pritličje, prvo nadstropje, podstrešje ter skupni prostori </t>
  </si>
  <si>
    <t>Mrliška vežica na Soški cesti NN ob pokopališču v Solkanu</t>
  </si>
  <si>
    <t>24 m2</t>
  </si>
  <si>
    <t>Poslovilna dvorana na Soški cesti NN ob pokopališču v Solkanu</t>
  </si>
  <si>
    <t>88 m2</t>
  </si>
  <si>
    <t>KS DORNBERK</t>
  </si>
  <si>
    <t>Gregorčičeva ul. 13, Dornberk (dvo nadstropna poslovna stavba)</t>
  </si>
  <si>
    <t>200 m2</t>
  </si>
  <si>
    <t>4.631,00*</t>
  </si>
  <si>
    <t>*Pri opremi gre za opremo na prostem -otroško igrišče.</t>
  </si>
  <si>
    <t>KS PRVAČINA</t>
  </si>
  <si>
    <t>PRVAČINA 48: ZADRUŽNI DOM, SOKOLSKI DOM, PRIZIDEK PRVAČINA</t>
  </si>
  <si>
    <t>72.000,00*</t>
  </si>
  <si>
    <t>*Od tega 9.000,00 EUR knjg.</t>
  </si>
  <si>
    <t>STEKLO NA 1. R</t>
  </si>
  <si>
    <t xml:space="preserve">LOKACIJA </t>
  </si>
  <si>
    <t>Višji stroški popravila na objektu ob vlomu</t>
  </si>
  <si>
    <t>Branik 75</t>
  </si>
  <si>
    <t>Zadružni dom Preserje nad Branikom</t>
  </si>
  <si>
    <t>Grad v Ozeljanu ; Ozeljan 92</t>
  </si>
  <si>
    <t>Trnovo 37 (zadružni dom Trnovo)</t>
  </si>
  <si>
    <t>Dom kulture Kromberk, Ul. Vinka Vodopivca 90, 5000 Nova Gorica</t>
  </si>
  <si>
    <t>1.000,00€ TERMOPAN +</t>
  </si>
  <si>
    <t>1.000,00€ VITRAŽ V IZMERI 4 M2</t>
  </si>
  <si>
    <r>
      <t xml:space="preserve">DODATNE POŽARNE NEVARNOSTI - ZAVAROVALNE VSOTE: </t>
    </r>
    <r>
      <rPr>
        <b/>
        <sz val="11"/>
        <color theme="1"/>
        <rFont val="Calibri"/>
        <family val="2"/>
        <charset val="238"/>
        <scheme val="minor"/>
      </rPr>
      <t>POVSOD BREZ FRANŠIZE RAZEN PRI OBJEKTNIH DEJANJIH, KJER JE FIKSNA FRANŠIZA 100 EUR</t>
    </r>
  </si>
  <si>
    <t>Vandalizem - objestna dejanja na 1. riziko:</t>
  </si>
  <si>
    <t>Ozeljan - smer Ajdovščina</t>
  </si>
  <si>
    <t>Ozeljan</t>
  </si>
  <si>
    <t xml:space="preserve">OPERMA NA PROSTEM - CIVILNA ZAŠČITA </t>
  </si>
  <si>
    <r>
      <rPr>
        <u/>
        <sz val="10"/>
        <rFont val="Calibri"/>
        <family val="2"/>
        <charset val="238"/>
      </rPr>
      <t>OBJESTNA DEJANJA OBJEKT IN OPREMA</t>
    </r>
    <r>
      <rPr>
        <sz val="10"/>
        <rFont val="Calibri"/>
        <family val="2"/>
        <charset val="238"/>
      </rPr>
      <t xml:space="preserve"> (SOUDELEŽBA: FIKSNA 100,00 EUR)</t>
    </r>
  </si>
  <si>
    <t>* Zgoraj navedena oprema za zaščito in reševanje se uporablja na različnih lokacijah po Sloveniji, ko so prizadeta v naravnih in drugih nesrečah.</t>
  </si>
  <si>
    <t xml:space="preserve">VOZILA MEDOBČINSKA UPRAVA (NAJUGODNEJŠI PONUDNIK BO IZDAL POSEBEN OBRAČUN ZA SPODAJ NAVEDENA VOZILA) </t>
  </si>
  <si>
    <t>PODATKI ZA ZAVAROVANJE OBJEKTOV IN OPREME KRAJEVNIH SKUPNOSTI</t>
  </si>
  <si>
    <t>Ograja ob igrišču</t>
  </si>
  <si>
    <t>Avtobusna postaja</t>
  </si>
  <si>
    <t>kovinsko steklena konstrukcija</t>
  </si>
  <si>
    <t>Kostanjeviška 18, Pristava, solastnina, delež 1/2</t>
  </si>
  <si>
    <t>OŠ Solkan, Šolska ulica 25, 5250 Solkan</t>
  </si>
  <si>
    <t>OŠ SOLKAN</t>
  </si>
  <si>
    <t xml:space="preserve">KVADRATURA  </t>
  </si>
  <si>
    <t>OŠ SOLKAN  -novi</t>
  </si>
  <si>
    <t xml:space="preserve">         /</t>
  </si>
  <si>
    <t>abk</t>
  </si>
  <si>
    <t>OŠ SOLKAN  -stari</t>
  </si>
  <si>
    <t>streha</t>
  </si>
  <si>
    <t>OŠ GRGAR</t>
  </si>
  <si>
    <t>OŠ TRNOVO</t>
  </si>
  <si>
    <t>Vrtec Solkan</t>
  </si>
  <si>
    <t xml:space="preserve">         ./</t>
  </si>
  <si>
    <t xml:space="preserve">       ./</t>
  </si>
  <si>
    <t>ABK</t>
  </si>
  <si>
    <t>Vrtec Grgar</t>
  </si>
  <si>
    <t>Vrtec Trnovo</t>
  </si>
  <si>
    <t>masiva</t>
  </si>
  <si>
    <t>OŠ SOLKAN  -novi del</t>
  </si>
  <si>
    <t>OŠ SOLKAN  -stari del</t>
  </si>
  <si>
    <t>OŠ TRNOVO (pod opremo  tudi teleskop Voglarji)</t>
  </si>
  <si>
    <t>Teleskop Voglarji, Voglarji 11, Trnovo pri Gorici</t>
  </si>
  <si>
    <r>
      <t xml:space="preserve">DODATNE POŽARNE NEVARNOSTI - ZAVAROVALNE VSOTE: </t>
    </r>
    <r>
      <rPr>
        <b/>
        <sz val="11"/>
        <color theme="1"/>
        <rFont val="Calibri"/>
        <family val="2"/>
        <charset val="238"/>
        <scheme val="minor"/>
      </rPr>
      <t>POVSOD BREZ FRANŠIZE, REZEN PRI OBJESTNIH DEJANJIH, KJER ZNAŠA FIKSNA SOUDELEŽBA 100,00 EUR po škod. primeru</t>
    </r>
  </si>
  <si>
    <t>OŠ SOLKAN  -novi in stari del</t>
  </si>
  <si>
    <t>OŠ GRGAR (parket)</t>
  </si>
  <si>
    <t>OŠ TRNOVO plstika</t>
  </si>
  <si>
    <t>3000 (oprema!)</t>
  </si>
  <si>
    <t>Vrtec Solkan parket</t>
  </si>
  <si>
    <t xml:space="preserve">Vrtec Grgar </t>
  </si>
  <si>
    <t>Vrtec Trnovo PLASTIKA</t>
  </si>
  <si>
    <t>OŠ SOLKAN VOZILA</t>
  </si>
  <si>
    <t>GO E8930</t>
  </si>
  <si>
    <t>VF7MFKFB65824684</t>
  </si>
  <si>
    <t>CITROEN BERLINGO MULTISPACE</t>
  </si>
  <si>
    <t xml:space="preserve">divjad in domače živali, razbitje stekla, </t>
  </si>
  <si>
    <t>GO ST703</t>
  </si>
  <si>
    <t>VF1JLAA3A6BY405038</t>
  </si>
  <si>
    <t>RENAULT TRAFFIC DIESEL PASSENGER 2.0 dCi L1H1P2</t>
  </si>
  <si>
    <t>GO CR456</t>
  </si>
  <si>
    <t>VF77A9HN0DJ775010</t>
  </si>
  <si>
    <t>CITROEN BERLINGO DIESEL FURGON 1.6 Hdi L1</t>
  </si>
  <si>
    <t>620 kg</t>
  </si>
  <si>
    <t>GOK3655</t>
  </si>
  <si>
    <t>TMBHF46Y164531022</t>
  </si>
  <si>
    <t>ŠKODA FABIA. 1.9 SDI CLASSIC</t>
  </si>
  <si>
    <t>Drobni inventar*</t>
  </si>
  <si>
    <t>DI se zavaruje na lokaciji Ul. Gradnikove brigade 7</t>
  </si>
  <si>
    <t>OBJESTNA DEJANJA OBJEKT IN OPREMA</t>
  </si>
  <si>
    <t>SKUPAJ:</t>
  </si>
  <si>
    <t>VLOM ROP ZALOGE</t>
  </si>
  <si>
    <t>Centralni vrtec s kuhinjo (ZAV. VSOTA ZA OPREMO JE SKUPNA ZA OPREMO IN ZALOGE)</t>
  </si>
  <si>
    <t>X</t>
  </si>
  <si>
    <t>Objekt se zavaruje na dogovorjeno vrednost</t>
  </si>
  <si>
    <t>OZNAČEN (X) OBJEKT SE ZAVARUE NA DOGOVORJENO VREDNOST</t>
  </si>
  <si>
    <t>SPECIALNO - GASILSKO</t>
  </si>
  <si>
    <t>DELOVNO - GASILSKO</t>
  </si>
  <si>
    <t>UDAREC NEZNANEGA VOZILA V OBJEKT NA 1. RIZIKO.</t>
  </si>
  <si>
    <t>KaVo</t>
  </si>
  <si>
    <t>KaVo Primus 1058</t>
  </si>
  <si>
    <t>KaVo Estetica E70</t>
  </si>
  <si>
    <t>PROIZVAJALEC IN TIP STROJA</t>
  </si>
  <si>
    <t>Ograja - betonski zid z kovano ograjo</t>
  </si>
  <si>
    <t>KP5350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</si>
</sst>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164" formatCode="#,##0.00\ &quot;€&quot;"/>
    <numFmt numFmtId="165" formatCode="_-* #,##0.00\ _€_-;\-* #,##0.00\ _€_-;_-* &quot;-&quot;??\ _€_-;_-@_-"/>
    <numFmt numFmtId="166" formatCode="_-* #,##0.00\ _€_-;\-* #,##0.00\ _€_-;_-* \-??\ _€_-;_-@_-"/>
    <numFmt numFmtId="167" formatCode="#,##0.00_ ;\-#,##0.00\ "/>
    <numFmt numFmtId="168" formatCode="#,##0.000000"/>
    <numFmt numFmtId="169" formatCode="0.000000"/>
    <numFmt numFmtId="170" formatCode="0.0000"/>
  </numFmts>
  <fonts count="7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u/>
      <sz val="10"/>
      <color indexed="8"/>
      <name val="Calibri"/>
      <family val="2"/>
      <charset val="238"/>
    </font>
    <font>
      <sz val="36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u/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9"/>
      <name val="Arial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b/>
      <sz val="9"/>
      <color indexed="8"/>
      <name val="Tahoma"/>
      <family val="2"/>
      <charset val="238"/>
    </font>
    <font>
      <b/>
      <i/>
      <u/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72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FFFFFF"/>
      <name val="Calibri"/>
      <family val="2"/>
      <charset val="238"/>
      <scheme val="minor"/>
    </font>
    <font>
      <b/>
      <u/>
      <sz val="1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 CE"/>
      <charset val="238"/>
    </font>
    <font>
      <sz val="10"/>
      <color indexed="10"/>
      <name val="Arial CE"/>
      <charset val="238"/>
    </font>
    <font>
      <b/>
      <sz val="10"/>
      <name val="Arial CE"/>
      <charset val="238"/>
    </font>
    <font>
      <sz val="9"/>
      <name val="Times New Roman"/>
      <family val="1"/>
      <charset val="238"/>
    </font>
    <font>
      <sz val="9"/>
      <name val="Arial CE"/>
      <charset val="238"/>
    </font>
    <font>
      <b/>
      <sz val="12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u/>
      <sz val="1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/>
      <diagonal/>
    </border>
  </borders>
  <cellStyleXfs count="6">
    <xf numFmtId="0" fontId="0" fillId="0" borderId="0"/>
    <xf numFmtId="165" fontId="16" fillId="0" borderId="0" applyFont="0" applyFill="0" applyBorder="0" applyAlignment="0" applyProtection="0"/>
    <xf numFmtId="0" fontId="27" fillId="0" borderId="0"/>
    <xf numFmtId="166" fontId="27" fillId="0" borderId="0" applyFill="0" applyBorder="0" applyAlignment="0" applyProtection="0"/>
    <xf numFmtId="0" fontId="60" fillId="0" borderId="0"/>
    <xf numFmtId="0" fontId="69" fillId="0" borderId="0"/>
  </cellStyleXfs>
  <cellXfs count="1018">
    <xf numFmtId="0" fontId="0" fillId="0" borderId="0" xfId="0"/>
    <xf numFmtId="0" fontId="0" fillId="0" borderId="0" xfId="0" applyAlignment="1">
      <alignment vertical="center"/>
    </xf>
    <xf numFmtId="0" fontId="12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 wrapText="1"/>
    </xf>
    <xf numFmtId="0" fontId="0" fillId="0" borderId="8" xfId="0" applyBorder="1"/>
    <xf numFmtId="0" fontId="13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4" fillId="0" borderId="4" xfId="0" applyFont="1" applyBorder="1"/>
    <xf numFmtId="0" fontId="14" fillId="0" borderId="4" xfId="0" applyFont="1" applyBorder="1" applyAlignment="1">
      <alignment vertical="center" wrapText="1"/>
    </xf>
    <xf numFmtId="0" fontId="13" fillId="0" borderId="1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4" fontId="13" fillId="0" borderId="12" xfId="0" applyNumberFormat="1" applyFont="1" applyBorder="1" applyAlignment="1">
      <alignment horizontal="center" wrapText="1"/>
    </xf>
    <xf numFmtId="4" fontId="15" fillId="0" borderId="1" xfId="0" applyNumberFormat="1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/>
    <xf numFmtId="0" fontId="0" fillId="0" borderId="1" xfId="0" applyBorder="1" applyAlignment="1">
      <alignment wrapText="1" shrinkToFi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3" xfId="0" applyBorder="1"/>
    <xf numFmtId="4" fontId="0" fillId="0" borderId="0" xfId="0" applyNumberFormat="1"/>
    <xf numFmtId="164" fontId="0" fillId="0" borderId="1" xfId="0" applyNumberFormat="1" applyBorder="1"/>
    <xf numFmtId="164" fontId="0" fillId="0" borderId="0" xfId="0" applyNumberForma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9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/>
    <xf numFmtId="3" fontId="3" fillId="0" borderId="1" xfId="0" applyNumberFormat="1" applyFont="1" applyBorder="1" applyAlignment="1">
      <alignment wrapText="1"/>
    </xf>
    <xf numFmtId="4" fontId="9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4" fontId="3" fillId="0" borderId="0" xfId="0" applyNumberFormat="1" applyFont="1"/>
    <xf numFmtId="0" fontId="0" fillId="0" borderId="0" xfId="0" applyAlignment="1">
      <alignment wrapText="1"/>
    </xf>
    <xf numFmtId="4" fontId="4" fillId="0" borderId="0" xfId="0" applyNumberFormat="1" applyFon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wrapText="1"/>
    </xf>
    <xf numFmtId="4" fontId="10" fillId="0" borderId="2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0" fillId="0" borderId="13" xfId="0" applyBorder="1" applyAlignment="1">
      <alignment horizontal="center" vertical="center"/>
    </xf>
    <xf numFmtId="0" fontId="0" fillId="0" borderId="7" xfId="0" applyBorder="1"/>
    <xf numFmtId="0" fontId="14" fillId="0" borderId="14" xfId="0" applyFont="1" applyBorder="1"/>
    <xf numFmtId="0" fontId="13" fillId="0" borderId="15" xfId="0" applyFont="1" applyBorder="1" applyAlignment="1">
      <alignment vertical="center" wrapText="1"/>
    </xf>
    <xf numFmtId="0" fontId="13" fillId="0" borderId="14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4" fontId="13" fillId="0" borderId="10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4" fontId="15" fillId="0" borderId="5" xfId="0" applyNumberFormat="1" applyFont="1" applyBorder="1" applyAlignment="1">
      <alignment horizontal="center"/>
    </xf>
    <xf numFmtId="4" fontId="0" fillId="0" borderId="3" xfId="0" applyNumberFormat="1" applyBorder="1"/>
    <xf numFmtId="0" fontId="0" fillId="0" borderId="5" xfId="0" applyBorder="1"/>
    <xf numFmtId="4" fontId="0" fillId="0" borderId="5" xfId="0" applyNumberFormat="1" applyBorder="1"/>
    <xf numFmtId="0" fontId="3" fillId="0" borderId="5" xfId="0" applyFont="1" applyBorder="1"/>
    <xf numFmtId="4" fontId="3" fillId="0" borderId="3" xfId="0" applyNumberFormat="1" applyFont="1" applyBorder="1"/>
    <xf numFmtId="4" fontId="0" fillId="0" borderId="1" xfId="0" applyNumberFormat="1" applyBorder="1" applyAlignment="1">
      <alignment wrapText="1"/>
    </xf>
    <xf numFmtId="0" fontId="0" fillId="2" borderId="1" xfId="0" applyFill="1" applyBorder="1"/>
    <xf numFmtId="9" fontId="0" fillId="0" borderId="1" xfId="0" applyNumberFormat="1" applyBorder="1"/>
    <xf numFmtId="0" fontId="0" fillId="2" borderId="0" xfId="0" applyFill="1"/>
    <xf numFmtId="9" fontId="0" fillId="0" borderId="0" xfId="0" applyNumberFormat="1"/>
    <xf numFmtId="0" fontId="0" fillId="3" borderId="1" xfId="0" applyFill="1" applyBorder="1"/>
    <xf numFmtId="0" fontId="0" fillId="3" borderId="1" xfId="0" applyFill="1" applyBorder="1" applyAlignment="1">
      <alignment wrapText="1"/>
    </xf>
    <xf numFmtId="4" fontId="0" fillId="3" borderId="1" xfId="0" applyNumberFormat="1" applyFill="1" applyBorder="1"/>
    <xf numFmtId="0" fontId="0" fillId="3" borderId="0" xfId="0" applyFill="1"/>
    <xf numFmtId="9" fontId="0" fillId="3" borderId="1" xfId="0" applyNumberFormat="1" applyFill="1" applyBorder="1"/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9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3" fontId="0" fillId="0" borderId="2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4" fontId="9" fillId="0" borderId="0" xfId="0" applyNumberFormat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0" fillId="0" borderId="3" xfId="0" applyBorder="1" applyAlignment="1">
      <alignment wrapText="1"/>
    </xf>
    <xf numFmtId="165" fontId="0" fillId="0" borderId="1" xfId="1" quotePrefix="1" applyFont="1" applyBorder="1" applyAlignment="1">
      <alignment wrapText="1"/>
    </xf>
    <xf numFmtId="3" fontId="0" fillId="0" borderId="0" xfId="0" applyNumberFormat="1" applyAlignment="1">
      <alignment horizontal="center" vertical="center"/>
    </xf>
    <xf numFmtId="0" fontId="14" fillId="0" borderId="6" xfId="0" applyFont="1" applyBorder="1"/>
    <xf numFmtId="0" fontId="13" fillId="0" borderId="18" xfId="0" applyFont="1" applyBorder="1" applyAlignment="1">
      <alignment vertical="center" wrapText="1"/>
    </xf>
    <xf numFmtId="0" fontId="4" fillId="0" borderId="4" xfId="0" applyFont="1" applyBorder="1" applyAlignment="1">
      <alignment wrapText="1"/>
    </xf>
    <xf numFmtId="4" fontId="13" fillId="0" borderId="4" xfId="0" applyNumberFormat="1" applyFont="1" applyBorder="1" applyAlignment="1">
      <alignment horizontal="center"/>
    </xf>
    <xf numFmtId="0" fontId="4" fillId="0" borderId="1" xfId="0" applyFont="1" applyBorder="1"/>
    <xf numFmtId="0" fontId="14" fillId="0" borderId="1" xfId="0" applyFont="1" applyBorder="1"/>
    <xf numFmtId="3" fontId="3" fillId="0" borderId="1" xfId="0" applyNumberFormat="1" applyFont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/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0" borderId="0" xfId="0" applyAlignment="1">
      <alignment horizontal="right"/>
    </xf>
    <xf numFmtId="165" fontId="0" fillId="0" borderId="0" xfId="1" applyFont="1"/>
    <xf numFmtId="165" fontId="0" fillId="2" borderId="1" xfId="1" applyFont="1" applyFill="1" applyBorder="1"/>
    <xf numFmtId="14" fontId="0" fillId="2" borderId="1" xfId="0" applyNumberFormat="1" applyFill="1" applyBorder="1"/>
    <xf numFmtId="9" fontId="0" fillId="2" borderId="1" xfId="0" applyNumberFormat="1" applyFill="1" applyBorder="1"/>
    <xf numFmtId="0" fontId="0" fillId="2" borderId="1" xfId="0" applyFill="1" applyBorder="1" applyAlignment="1">
      <alignment wrapText="1"/>
    </xf>
    <xf numFmtId="165" fontId="0" fillId="2" borderId="1" xfId="1" applyFont="1" applyFill="1" applyBorder="1" applyAlignment="1">
      <alignment wrapText="1"/>
    </xf>
    <xf numFmtId="0" fontId="0" fillId="4" borderId="0" xfId="0" applyFill="1"/>
    <xf numFmtId="0" fontId="19" fillId="0" borderId="0" xfId="0" applyFont="1"/>
    <xf numFmtId="165" fontId="0" fillId="0" borderId="0" xfId="1" applyFont="1" applyAlignment="1">
      <alignment wrapText="1"/>
    </xf>
    <xf numFmtId="165" fontId="0" fillId="0" borderId="0" xfId="0" applyNumberFormat="1"/>
    <xf numFmtId="3" fontId="5" fillId="0" borderId="2" xfId="0" applyNumberFormat="1" applyFont="1" applyBorder="1" applyAlignment="1">
      <alignment horizontal="center" wrapText="1"/>
    </xf>
    <xf numFmtId="4" fontId="9" fillId="4" borderId="2" xfId="0" applyNumberFormat="1" applyFont="1" applyFill="1" applyBorder="1" applyAlignment="1">
      <alignment horizontal="center"/>
    </xf>
    <xf numFmtId="3" fontId="0" fillId="0" borderId="1" xfId="0" applyNumberFormat="1" applyBorder="1"/>
    <xf numFmtId="4" fontId="0" fillId="4" borderId="1" xfId="0" applyNumberFormat="1" applyFill="1" applyBorder="1"/>
    <xf numFmtId="3" fontId="0" fillId="0" borderId="0" xfId="0" applyNumberFormat="1"/>
    <xf numFmtId="0" fontId="1" fillId="4" borderId="22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8" xfId="0" applyBorder="1"/>
    <xf numFmtId="14" fontId="0" fillId="4" borderId="29" xfId="0" applyNumberFormat="1" applyFill="1" applyBorder="1"/>
    <xf numFmtId="4" fontId="0" fillId="0" borderId="30" xfId="0" applyNumberFormat="1" applyBorder="1"/>
    <xf numFmtId="4" fontId="0" fillId="0" borderId="31" xfId="0" applyNumberFormat="1" applyBorder="1" applyAlignment="1">
      <alignment wrapText="1"/>
    </xf>
    <xf numFmtId="0" fontId="0" fillId="0" borderId="30" xfId="0" applyBorder="1" applyAlignment="1">
      <alignment wrapText="1"/>
    </xf>
    <xf numFmtId="14" fontId="0" fillId="0" borderId="32" xfId="0" applyNumberFormat="1" applyBorder="1" applyAlignment="1">
      <alignment wrapText="1"/>
    </xf>
    <xf numFmtId="0" fontId="0" fillId="0" borderId="27" xfId="0" applyBorder="1"/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14" fontId="0" fillId="4" borderId="4" xfId="0" applyNumberFormat="1" applyFill="1" applyBorder="1" applyAlignment="1">
      <alignment horizontal="center" vertical="center"/>
    </xf>
    <xf numFmtId="0" fontId="0" fillId="0" borderId="24" xfId="0" applyBorder="1"/>
    <xf numFmtId="0" fontId="0" fillId="0" borderId="33" xfId="0" applyBorder="1"/>
    <xf numFmtId="0" fontId="0" fillId="0" borderId="34" xfId="0" applyBorder="1" applyAlignment="1">
      <alignment wrapText="1"/>
    </xf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 applyAlignment="1">
      <alignment vertical="center"/>
    </xf>
    <xf numFmtId="0" fontId="23" fillId="5" borderId="9" xfId="0" applyFont="1" applyFill="1" applyBorder="1" applyAlignment="1">
      <alignment vertical="center" wrapText="1"/>
    </xf>
    <xf numFmtId="0" fontId="23" fillId="5" borderId="8" xfId="0" applyFont="1" applyFill="1" applyBorder="1" applyAlignment="1">
      <alignment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vertical="center" wrapText="1"/>
    </xf>
    <xf numFmtId="0" fontId="26" fillId="0" borderId="36" xfId="0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5" fillId="0" borderId="0" xfId="0" applyFont="1" applyAlignment="1">
      <alignment vertical="center"/>
    </xf>
    <xf numFmtId="0" fontId="27" fillId="0" borderId="0" xfId="2" applyAlignment="1">
      <alignment wrapText="1"/>
    </xf>
    <xf numFmtId="0" fontId="27" fillId="0" borderId="0" xfId="2"/>
    <xf numFmtId="0" fontId="28" fillId="0" borderId="0" xfId="2" applyFont="1"/>
    <xf numFmtId="0" fontId="29" fillId="0" borderId="0" xfId="2" applyFont="1"/>
    <xf numFmtId="0" fontId="3" fillId="0" borderId="0" xfId="2" applyFont="1"/>
    <xf numFmtId="3" fontId="3" fillId="0" borderId="0" xfId="2" applyNumberFormat="1" applyFont="1"/>
    <xf numFmtId="0" fontId="12" fillId="0" borderId="0" xfId="2" applyFont="1"/>
    <xf numFmtId="0" fontId="5" fillId="0" borderId="39" xfId="2" applyFont="1" applyBorder="1" applyAlignment="1">
      <alignment horizontal="center"/>
    </xf>
    <xf numFmtId="0" fontId="3" fillId="0" borderId="39" xfId="2" applyFont="1" applyBorder="1" applyAlignment="1">
      <alignment horizontal="center" wrapText="1"/>
    </xf>
    <xf numFmtId="0" fontId="5" fillId="0" borderId="40" xfId="2" applyFont="1" applyBorder="1" applyAlignment="1">
      <alignment horizontal="center"/>
    </xf>
    <xf numFmtId="0" fontId="3" fillId="2" borderId="39" xfId="2" applyFont="1" applyFill="1" applyBorder="1" applyAlignment="1">
      <alignment vertical="center" wrapText="1"/>
    </xf>
    <xf numFmtId="0" fontId="3" fillId="2" borderId="39" xfId="2" applyFont="1" applyFill="1" applyBorder="1" applyAlignment="1">
      <alignment horizontal="center" wrapText="1"/>
    </xf>
    <xf numFmtId="3" fontId="3" fillId="2" borderId="39" xfId="2" applyNumberFormat="1" applyFont="1" applyFill="1" applyBorder="1" applyAlignment="1">
      <alignment horizontal="center"/>
    </xf>
    <xf numFmtId="0" fontId="27" fillId="2" borderId="39" xfId="2" applyFill="1" applyBorder="1" applyAlignment="1">
      <alignment horizontal="center"/>
    </xf>
    <xf numFmtId="0" fontId="12" fillId="0" borderId="0" xfId="2" applyFont="1" applyAlignment="1">
      <alignment horizontal="center"/>
    </xf>
    <xf numFmtId="0" fontId="27" fillId="0" borderId="0" xfId="2" applyAlignment="1">
      <alignment horizontal="center"/>
    </xf>
    <xf numFmtId="0" fontId="3" fillId="0" borderId="39" xfId="2" applyFont="1" applyBorder="1" applyAlignment="1">
      <alignment horizontal="center"/>
    </xf>
    <xf numFmtId="0" fontId="30" fillId="0" borderId="41" xfId="2" applyFont="1" applyBorder="1" applyAlignment="1">
      <alignment horizontal="center" wrapText="1"/>
    </xf>
    <xf numFmtId="0" fontId="5" fillId="0" borderId="40" xfId="2" applyFont="1" applyBorder="1" applyAlignment="1">
      <alignment horizontal="center" vertical="center" wrapText="1"/>
    </xf>
    <xf numFmtId="0" fontId="5" fillId="2" borderId="39" xfId="2" applyFont="1" applyFill="1" applyBorder="1" applyAlignment="1">
      <alignment horizontal="center" wrapText="1"/>
    </xf>
    <xf numFmtId="3" fontId="3" fillId="2" borderId="39" xfId="2" applyNumberFormat="1" applyFont="1" applyFill="1" applyBorder="1" applyAlignment="1">
      <alignment horizontal="center" wrapText="1"/>
    </xf>
    <xf numFmtId="3" fontId="9" fillId="0" borderId="42" xfId="2" applyNumberFormat="1" applyFont="1" applyBorder="1" applyAlignment="1">
      <alignment horizontal="center"/>
    </xf>
    <xf numFmtId="3" fontId="5" fillId="0" borderId="42" xfId="2" applyNumberFormat="1" applyFont="1" applyBorder="1" applyAlignment="1">
      <alignment horizontal="center" wrapText="1"/>
    </xf>
    <xf numFmtId="4" fontId="9" fillId="0" borderId="42" xfId="2" applyNumberFormat="1" applyFont="1" applyBorder="1" applyAlignment="1">
      <alignment horizontal="center"/>
    </xf>
    <xf numFmtId="4" fontId="9" fillId="6" borderId="42" xfId="2" applyNumberFormat="1" applyFont="1" applyFill="1" applyBorder="1" applyAlignment="1">
      <alignment horizontal="center"/>
    </xf>
    <xf numFmtId="4" fontId="9" fillId="2" borderId="42" xfId="2" applyNumberFormat="1" applyFont="1" applyFill="1" applyBorder="1" applyAlignment="1">
      <alignment horizontal="center"/>
    </xf>
    <xf numFmtId="3" fontId="27" fillId="6" borderId="42" xfId="2" applyNumberFormat="1" applyFill="1" applyBorder="1" applyAlignment="1">
      <alignment horizontal="center"/>
    </xf>
    <xf numFmtId="4" fontId="27" fillId="0" borderId="0" xfId="2" applyNumberFormat="1" applyAlignment="1">
      <alignment horizontal="center"/>
    </xf>
    <xf numFmtId="3" fontId="9" fillId="0" borderId="39" xfId="2" applyNumberFormat="1" applyFont="1" applyBorder="1"/>
    <xf numFmtId="3" fontId="3" fillId="0" borderId="39" xfId="2" applyNumberFormat="1" applyFont="1" applyBorder="1" applyAlignment="1">
      <alignment wrapText="1"/>
    </xf>
    <xf numFmtId="4" fontId="9" fillId="0" borderId="39" xfId="2" applyNumberFormat="1" applyFont="1" applyBorder="1" applyAlignment="1">
      <alignment horizontal="center"/>
    </xf>
    <xf numFmtId="4" fontId="3" fillId="2" borderId="39" xfId="2" applyNumberFormat="1" applyFont="1" applyFill="1" applyBorder="1"/>
    <xf numFmtId="4" fontId="9" fillId="2" borderId="39" xfId="2" applyNumberFormat="1" applyFont="1" applyFill="1" applyBorder="1" applyAlignment="1">
      <alignment horizontal="center"/>
    </xf>
    <xf numFmtId="0" fontId="3" fillId="2" borderId="39" xfId="2" applyFont="1" applyFill="1" applyBorder="1"/>
    <xf numFmtId="4" fontId="3" fillId="2" borderId="0" xfId="2" applyNumberFormat="1" applyFont="1" applyFill="1"/>
    <xf numFmtId="0" fontId="3" fillId="2" borderId="0" xfId="2" applyFont="1" applyFill="1"/>
    <xf numFmtId="3" fontId="3" fillId="2" borderId="0" xfId="2" applyNumberFormat="1" applyFont="1" applyFill="1"/>
    <xf numFmtId="0" fontId="27" fillId="2" borderId="0" xfId="2" applyFill="1"/>
    <xf numFmtId="4" fontId="27" fillId="2" borderId="0" xfId="2" applyNumberFormat="1" applyFill="1"/>
    <xf numFmtId="0" fontId="5" fillId="0" borderId="0" xfId="2" applyFont="1"/>
    <xf numFmtId="0" fontId="5" fillId="2" borderId="0" xfId="2" applyFont="1" applyFill="1"/>
    <xf numFmtId="0" fontId="27" fillId="0" borderId="39" xfId="2" applyBorder="1"/>
    <xf numFmtId="0" fontId="27" fillId="0" borderId="39" xfId="2" applyBorder="1" applyAlignment="1">
      <alignment wrapText="1"/>
    </xf>
    <xf numFmtId="0" fontId="27" fillId="0" borderId="39" xfId="2" applyBorder="1" applyAlignment="1">
      <alignment horizontal="center" wrapText="1"/>
    </xf>
    <xf numFmtId="0" fontId="27" fillId="2" borderId="39" xfId="2" applyFill="1" applyBorder="1" applyAlignment="1">
      <alignment horizontal="center" wrapText="1"/>
    </xf>
    <xf numFmtId="0" fontId="27" fillId="2" borderId="0" xfId="2" applyFill="1" applyAlignment="1">
      <alignment horizontal="center"/>
    </xf>
    <xf numFmtId="0" fontId="3" fillId="2" borderId="0" xfId="2" applyFont="1" applyFill="1" applyAlignment="1">
      <alignment horizontal="center" wrapText="1"/>
    </xf>
    <xf numFmtId="0" fontId="3" fillId="2" borderId="0" xfId="2" applyFont="1" applyFill="1" applyAlignment="1">
      <alignment horizontal="center"/>
    </xf>
    <xf numFmtId="0" fontId="27" fillId="0" borderId="39" xfId="2" applyBorder="1" applyAlignment="1">
      <alignment horizontal="left" vertical="center" wrapText="1"/>
    </xf>
    <xf numFmtId="0" fontId="27" fillId="0" borderId="39" xfId="2" applyBorder="1" applyAlignment="1">
      <alignment horizontal="center" vertical="center" wrapText="1"/>
    </xf>
    <xf numFmtId="0" fontId="27" fillId="2" borderId="39" xfId="2" applyFill="1" applyBorder="1" applyAlignment="1">
      <alignment horizontal="center" vertical="center" wrapText="1"/>
    </xf>
    <xf numFmtId="4" fontId="27" fillId="2" borderId="39" xfId="2" applyNumberFormat="1" applyFill="1" applyBorder="1" applyAlignment="1">
      <alignment horizontal="center" vertical="center" wrapText="1"/>
    </xf>
    <xf numFmtId="0" fontId="27" fillId="2" borderId="40" xfId="2" applyFill="1" applyBorder="1" applyAlignment="1">
      <alignment horizontal="center" vertical="center" wrapText="1"/>
    </xf>
    <xf numFmtId="166" fontId="27" fillId="6" borderId="39" xfId="3" applyFill="1" applyBorder="1" applyAlignment="1">
      <alignment horizontal="center" vertical="center" wrapText="1"/>
    </xf>
    <xf numFmtId="166" fontId="27" fillId="2" borderId="0" xfId="2" applyNumberFormat="1" applyFill="1" applyAlignment="1">
      <alignment horizontal="left" vertical="center" wrapText="1"/>
    </xf>
    <xf numFmtId="3" fontId="27" fillId="2" borderId="0" xfId="2" applyNumberFormat="1" applyFill="1" applyAlignment="1">
      <alignment horizontal="center" vertical="center" wrapText="1"/>
    </xf>
    <xf numFmtId="0" fontId="27" fillId="2" borderId="0" xfId="2" applyFill="1" applyAlignment="1">
      <alignment horizontal="left" vertical="center" wrapText="1"/>
    </xf>
    <xf numFmtId="0" fontId="27" fillId="0" borderId="0" xfId="2" applyAlignment="1">
      <alignment horizontal="left" vertical="center" wrapText="1"/>
    </xf>
    <xf numFmtId="0" fontId="27" fillId="2" borderId="0" xfId="2" applyFill="1" applyAlignment="1">
      <alignment horizontal="center" vertical="center" wrapText="1"/>
    </xf>
    <xf numFmtId="0" fontId="30" fillId="0" borderId="39" xfId="2" applyFont="1" applyBorder="1" applyAlignment="1">
      <alignment horizontal="left" vertical="center" wrapText="1"/>
    </xf>
    <xf numFmtId="0" fontId="30" fillId="0" borderId="39" xfId="2" applyFont="1" applyBorder="1" applyAlignment="1">
      <alignment horizontal="center" vertical="center" wrapText="1"/>
    </xf>
    <xf numFmtId="0" fontId="30" fillId="2" borderId="39" xfId="2" applyFont="1" applyFill="1" applyBorder="1" applyAlignment="1">
      <alignment horizontal="center" vertical="center" wrapText="1"/>
    </xf>
    <xf numFmtId="4" fontId="30" fillId="2" borderId="39" xfId="2" applyNumberFormat="1" applyFont="1" applyFill="1" applyBorder="1" applyAlignment="1">
      <alignment horizontal="center" vertical="center" wrapText="1"/>
    </xf>
    <xf numFmtId="0" fontId="30" fillId="2" borderId="40" xfId="2" applyFont="1" applyFill="1" applyBorder="1" applyAlignment="1">
      <alignment horizontal="center" vertical="center" wrapText="1"/>
    </xf>
    <xf numFmtId="166" fontId="30" fillId="6" borderId="39" xfId="3" applyFont="1" applyFill="1" applyBorder="1" applyAlignment="1">
      <alignment horizontal="center" vertical="center" wrapText="1"/>
    </xf>
    <xf numFmtId="0" fontId="30" fillId="2" borderId="0" xfId="2" applyFont="1" applyFill="1" applyAlignment="1">
      <alignment horizontal="left" vertical="center" wrapText="1"/>
    </xf>
    <xf numFmtId="0" fontId="30" fillId="0" borderId="0" xfId="2" applyFont="1" applyAlignment="1">
      <alignment horizontal="left" vertical="center" wrapText="1"/>
    </xf>
    <xf numFmtId="0" fontId="27" fillId="2" borderId="0" xfId="2" applyFill="1" applyAlignment="1">
      <alignment wrapText="1"/>
    </xf>
    <xf numFmtId="0" fontId="27" fillId="2" borderId="0" xfId="2" applyFill="1" applyAlignment="1">
      <alignment vertical="center"/>
    </xf>
    <xf numFmtId="0" fontId="27" fillId="0" borderId="0" xfId="2" applyAlignment="1">
      <alignment vertical="center"/>
    </xf>
    <xf numFmtId="0" fontId="31" fillId="0" borderId="0" xfId="2" applyFont="1" applyAlignment="1">
      <alignment wrapText="1"/>
    </xf>
    <xf numFmtId="0" fontId="3" fillId="0" borderId="39" xfId="2" applyFont="1" applyBorder="1" applyAlignment="1">
      <alignment horizontal="left"/>
    </xf>
    <xf numFmtId="0" fontId="27" fillId="0" borderId="39" xfId="2" applyBorder="1" applyAlignment="1">
      <alignment horizontal="center" vertical="center"/>
    </xf>
    <xf numFmtId="166" fontId="3" fillId="0" borderId="39" xfId="3" applyFont="1" applyBorder="1" applyAlignment="1">
      <alignment vertical="center" wrapText="1"/>
    </xf>
    <xf numFmtId="167" fontId="3" fillId="0" borderId="39" xfId="3" applyNumberFormat="1" applyFont="1" applyBorder="1" applyAlignment="1">
      <alignment horizontal="center" vertical="center" wrapText="1"/>
    </xf>
    <xf numFmtId="167" fontId="3" fillId="0" borderId="39" xfId="3" applyNumberFormat="1" applyFont="1" applyBorder="1" applyAlignment="1">
      <alignment vertical="center" wrapText="1"/>
    </xf>
    <xf numFmtId="4" fontId="3" fillId="0" borderId="39" xfId="2" applyNumberFormat="1" applyFont="1" applyBorder="1" applyAlignment="1">
      <alignment horizontal="center" vertical="center" wrapText="1"/>
    </xf>
    <xf numFmtId="166" fontId="27" fillId="0" borderId="0" xfId="2" applyNumberFormat="1"/>
    <xf numFmtId="165" fontId="27" fillId="0" borderId="0" xfId="2" applyNumberFormat="1"/>
    <xf numFmtId="4" fontId="13" fillId="0" borderId="0" xfId="2" applyNumberFormat="1" applyFont="1" applyAlignment="1">
      <alignment horizontal="center" vertical="top"/>
    </xf>
    <xf numFmtId="0" fontId="13" fillId="0" borderId="0" xfId="2" applyFont="1" applyAlignment="1">
      <alignment horizontal="center" vertical="top"/>
    </xf>
    <xf numFmtId="166" fontId="3" fillId="0" borderId="39" xfId="3" applyFont="1" applyBorder="1" applyAlignment="1">
      <alignment wrapText="1"/>
    </xf>
    <xf numFmtId="167" fontId="3" fillId="0" borderId="39" xfId="3" applyNumberFormat="1" applyFont="1" applyBorder="1" applyAlignment="1">
      <alignment horizontal="center" wrapText="1"/>
    </xf>
    <xf numFmtId="4" fontId="3" fillId="0" borderId="39" xfId="2" applyNumberFormat="1" applyFont="1" applyBorder="1" applyAlignment="1">
      <alignment horizontal="center" wrapText="1"/>
    </xf>
    <xf numFmtId="4" fontId="12" fillId="0" borderId="0" xfId="2" applyNumberFormat="1" applyFont="1"/>
    <xf numFmtId="4" fontId="32" fillId="0" borderId="0" xfId="2" applyNumberFormat="1" applyFont="1"/>
    <xf numFmtId="0" fontId="30" fillId="0" borderId="39" xfId="2" applyFont="1" applyBorder="1" applyAlignment="1">
      <alignment horizontal="center" vertical="center"/>
    </xf>
    <xf numFmtId="0" fontId="5" fillId="0" borderId="39" xfId="2" applyFont="1" applyBorder="1" applyAlignment="1">
      <alignment wrapText="1"/>
    </xf>
    <xf numFmtId="166" fontId="5" fillId="6" borderId="39" xfId="3" applyFont="1" applyFill="1" applyBorder="1" applyAlignment="1">
      <alignment wrapText="1"/>
    </xf>
    <xf numFmtId="167" fontId="5" fillId="6" borderId="39" xfId="3" applyNumberFormat="1" applyFont="1" applyFill="1" applyBorder="1" applyAlignment="1">
      <alignment horizontal="center" wrapText="1"/>
    </xf>
    <xf numFmtId="4" fontId="5" fillId="6" borderId="39" xfId="2" applyNumberFormat="1" applyFont="1" applyFill="1" applyBorder="1" applyAlignment="1">
      <alignment horizontal="center" wrapText="1"/>
    </xf>
    <xf numFmtId="4" fontId="30" fillId="2" borderId="0" xfId="2" applyNumberFormat="1" applyFont="1" applyFill="1"/>
    <xf numFmtId="4" fontId="33" fillId="2" borderId="0" xfId="2" applyNumberFormat="1" applyFont="1" applyFill="1"/>
    <xf numFmtId="0" fontId="30" fillId="2" borderId="0" xfId="2" applyFont="1" applyFill="1"/>
    <xf numFmtId="0" fontId="30" fillId="0" borderId="0" xfId="2" applyFont="1"/>
    <xf numFmtId="0" fontId="27" fillId="0" borderId="0" xfId="2" applyAlignment="1">
      <alignment horizontal="center" vertical="center"/>
    </xf>
    <xf numFmtId="0" fontId="3" fillId="0" borderId="0" xfId="2" applyFont="1" applyAlignment="1">
      <alignment wrapText="1"/>
    </xf>
    <xf numFmtId="166" fontId="34" fillId="2" borderId="0" xfId="3" applyFont="1" applyFill="1" applyAlignment="1">
      <alignment horizontal="center" wrapText="1"/>
    </xf>
    <xf numFmtId="4" fontId="3" fillId="2" borderId="0" xfId="2" applyNumberFormat="1" applyFont="1" applyFill="1" applyAlignment="1">
      <alignment horizontal="center" wrapText="1"/>
    </xf>
    <xf numFmtId="4" fontId="12" fillId="2" borderId="0" xfId="2" applyNumberFormat="1" applyFont="1" applyFill="1"/>
    <xf numFmtId="4" fontId="32" fillId="2" borderId="0" xfId="2" applyNumberFormat="1" applyFont="1" applyFill="1"/>
    <xf numFmtId="0" fontId="36" fillId="0" borderId="43" xfId="2" applyFont="1" applyBorder="1" applyAlignment="1">
      <alignment horizontal="center" vertical="top"/>
    </xf>
    <xf numFmtId="4" fontId="13" fillId="2" borderId="46" xfId="2" applyNumberFormat="1" applyFont="1" applyFill="1" applyBorder="1" applyAlignment="1">
      <alignment horizontal="center" vertical="top"/>
    </xf>
    <xf numFmtId="0" fontId="13" fillId="2" borderId="46" xfId="2" applyFont="1" applyFill="1" applyBorder="1" applyAlignment="1">
      <alignment horizontal="center" vertical="top"/>
    </xf>
    <xf numFmtId="0" fontId="37" fillId="2" borderId="0" xfId="2" applyFont="1" applyFill="1" applyAlignment="1">
      <alignment horizontal="center" vertical="top"/>
    </xf>
    <xf numFmtId="0" fontId="36" fillId="2" borderId="0" xfId="2" applyFont="1" applyFill="1" applyAlignment="1">
      <alignment horizontal="center" vertical="center" wrapText="1"/>
    </xf>
    <xf numFmtId="4" fontId="36" fillId="2" borderId="50" xfId="2" applyNumberFormat="1" applyFont="1" applyFill="1" applyBorder="1" applyAlignment="1">
      <alignment horizontal="center" vertical="center" wrapText="1"/>
    </xf>
    <xf numFmtId="4" fontId="36" fillId="2" borderId="51" xfId="2" applyNumberFormat="1" applyFont="1" applyFill="1" applyBorder="1" applyAlignment="1">
      <alignment horizontal="center" vertical="center" wrapText="1"/>
    </xf>
    <xf numFmtId="0" fontId="36" fillId="2" borderId="51" xfId="2" applyFont="1" applyFill="1" applyBorder="1" applyAlignment="1">
      <alignment horizontal="center" vertical="center" wrapText="1"/>
    </xf>
    <xf numFmtId="0" fontId="36" fillId="2" borderId="52" xfId="2" applyFont="1" applyFill="1" applyBorder="1" applyAlignment="1">
      <alignment horizontal="center" vertical="center" wrapText="1"/>
    </xf>
    <xf numFmtId="0" fontId="36" fillId="2" borderId="53" xfId="2" applyFont="1" applyFill="1" applyBorder="1" applyAlignment="1">
      <alignment horizontal="center" vertical="center" wrapText="1"/>
    </xf>
    <xf numFmtId="0" fontId="36" fillId="2" borderId="54" xfId="2" applyFont="1" applyFill="1" applyBorder="1" applyAlignment="1">
      <alignment horizontal="center" vertical="center" wrapText="1"/>
    </xf>
    <xf numFmtId="0" fontId="35" fillId="2" borderId="0" xfId="2" applyFont="1" applyFill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36" fillId="7" borderId="44" xfId="2" applyFont="1" applyFill="1" applyBorder="1" applyAlignment="1">
      <alignment horizontal="center" vertical="top" wrapText="1"/>
    </xf>
    <xf numFmtId="0" fontId="13" fillId="2" borderId="55" xfId="2" applyFont="1" applyFill="1" applyBorder="1" applyAlignment="1">
      <alignment horizontal="center" vertical="top"/>
    </xf>
    <xf numFmtId="0" fontId="13" fillId="2" borderId="56" xfId="2" applyFont="1" applyFill="1" applyBorder="1" applyAlignment="1">
      <alignment horizontal="center" vertical="top"/>
    </xf>
    <xf numFmtId="0" fontId="13" fillId="2" borderId="57" xfId="2" applyFont="1" applyFill="1" applyBorder="1" applyAlignment="1">
      <alignment horizontal="center" vertical="top"/>
    </xf>
    <xf numFmtId="0" fontId="13" fillId="2" borderId="58" xfId="2" applyFont="1" applyFill="1" applyBorder="1" applyAlignment="1">
      <alignment horizontal="center" vertical="top"/>
    </xf>
    <xf numFmtId="0" fontId="13" fillId="2" borderId="55" xfId="2" applyFont="1" applyFill="1" applyBorder="1" applyAlignment="1">
      <alignment horizontal="center" vertical="top" wrapText="1"/>
    </xf>
    <xf numFmtId="0" fontId="13" fillId="2" borderId="46" xfId="2" applyFont="1" applyFill="1" applyBorder="1" applyAlignment="1">
      <alignment horizontal="center" vertical="top" wrapText="1"/>
    </xf>
    <xf numFmtId="0" fontId="13" fillId="2" borderId="58" xfId="2" applyFont="1" applyFill="1" applyBorder="1" applyAlignment="1">
      <alignment horizontal="center" vertical="top" wrapText="1"/>
    </xf>
    <xf numFmtId="4" fontId="13" fillId="2" borderId="59" xfId="2" applyNumberFormat="1" applyFont="1" applyFill="1" applyBorder="1" applyAlignment="1">
      <alignment horizontal="center" vertical="top"/>
    </xf>
    <xf numFmtId="4" fontId="13" fillId="2" borderId="56" xfId="2" applyNumberFormat="1" applyFont="1" applyFill="1" applyBorder="1" applyAlignment="1">
      <alignment horizontal="center" vertical="top"/>
    </xf>
    <xf numFmtId="0" fontId="13" fillId="2" borderId="59" xfId="2" applyFont="1" applyFill="1" applyBorder="1" applyAlignment="1">
      <alignment horizontal="center" vertical="top"/>
    </xf>
    <xf numFmtId="0" fontId="13" fillId="0" borderId="60" xfId="2" applyFont="1" applyBorder="1" applyAlignment="1">
      <alignment horizontal="center" vertical="center"/>
    </xf>
    <xf numFmtId="0" fontId="30" fillId="0" borderId="61" xfId="2" applyFont="1" applyBorder="1" applyAlignment="1">
      <alignment horizontal="left" vertical="center" wrapText="1"/>
    </xf>
    <xf numFmtId="4" fontId="36" fillId="6" borderId="62" xfId="2" applyNumberFormat="1" applyFont="1" applyFill="1" applyBorder="1" applyAlignment="1">
      <alignment horizontal="center" vertical="center"/>
    </xf>
    <xf numFmtId="4" fontId="36" fillId="2" borderId="63" xfId="2" applyNumberFormat="1" applyFont="1" applyFill="1" applyBorder="1" applyAlignment="1">
      <alignment horizontal="center" vertical="center"/>
    </xf>
    <xf numFmtId="4" fontId="36" fillId="6" borderId="63" xfId="2" applyNumberFormat="1" applyFont="1" applyFill="1" applyBorder="1" applyAlignment="1">
      <alignment horizontal="center" vertical="center"/>
    </xf>
    <xf numFmtId="4" fontId="13" fillId="2" borderId="63" xfId="2" applyNumberFormat="1" applyFont="1" applyFill="1" applyBorder="1" applyAlignment="1">
      <alignment horizontal="center" vertical="center"/>
    </xf>
    <xf numFmtId="4" fontId="13" fillId="2" borderId="64" xfId="2" applyNumberFormat="1" applyFont="1" applyFill="1" applyBorder="1" applyAlignment="1">
      <alignment horizontal="center" vertical="center"/>
    </xf>
    <xf numFmtId="4" fontId="36" fillId="6" borderId="64" xfId="2" applyNumberFormat="1" applyFont="1" applyFill="1" applyBorder="1" applyAlignment="1">
      <alignment horizontal="center" vertical="center"/>
    </xf>
    <xf numFmtId="4" fontId="36" fillId="6" borderId="65" xfId="2" applyNumberFormat="1" applyFont="1" applyFill="1" applyBorder="1" applyAlignment="1">
      <alignment horizontal="center" vertical="center"/>
    </xf>
    <xf numFmtId="4" fontId="36" fillId="6" borderId="66" xfId="2" applyNumberFormat="1" applyFont="1" applyFill="1" applyBorder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39" fillId="0" borderId="0" xfId="0" applyFont="1"/>
    <xf numFmtId="3" fontId="0" fillId="0" borderId="1" xfId="0" applyNumberFormat="1" applyBorder="1" applyAlignment="1">
      <alignment wrapText="1"/>
    </xf>
    <xf numFmtId="4" fontId="4" fillId="0" borderId="0" xfId="0" applyNumberFormat="1" applyFont="1" applyAlignment="1">
      <alignment wrapText="1"/>
    </xf>
    <xf numFmtId="0" fontId="1" fillId="0" borderId="4" xfId="0" applyFont="1" applyBorder="1" applyAlignment="1">
      <alignment horizontal="center" wrapText="1"/>
    </xf>
    <xf numFmtId="4" fontId="9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indent="1"/>
    </xf>
    <xf numFmtId="4" fontId="3" fillId="0" borderId="0" xfId="0" applyNumberFormat="1" applyFont="1" applyAlignment="1">
      <alignment horizontal="left" indent="2"/>
    </xf>
    <xf numFmtId="0" fontId="3" fillId="0" borderId="0" xfId="0" applyFont="1" applyAlignment="1">
      <alignment horizontal="left" indent="2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40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4" fontId="3" fillId="2" borderId="1" xfId="0" applyNumberFormat="1" applyFont="1" applyFill="1" applyBorder="1" applyAlignment="1">
      <alignment horizontal="center" vertical="center" wrapText="1"/>
    </xf>
    <xf numFmtId="4" fontId="41" fillId="0" borderId="0" xfId="0" applyNumberFormat="1" applyFont="1"/>
    <xf numFmtId="0" fontId="42" fillId="0" borderId="0" xfId="0" applyFont="1" applyAlignment="1">
      <alignment horizontal="left"/>
    </xf>
    <xf numFmtId="0" fontId="13" fillId="0" borderId="7" xfId="0" applyFont="1" applyBorder="1" applyAlignment="1">
      <alignment horizontal="center" vertical="top"/>
    </xf>
    <xf numFmtId="4" fontId="13" fillId="0" borderId="7" xfId="0" applyNumberFormat="1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36" fillId="0" borderId="6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4" fontId="36" fillId="0" borderId="13" xfId="0" applyNumberFormat="1" applyFont="1" applyBorder="1" applyAlignment="1">
      <alignment horizontal="center" vertical="center" wrapText="1"/>
    </xf>
    <xf numFmtId="4" fontId="36" fillId="0" borderId="76" xfId="0" applyNumberFormat="1" applyFont="1" applyBorder="1" applyAlignment="1">
      <alignment horizontal="center" vertical="center" wrapText="1"/>
    </xf>
    <xf numFmtId="0" fontId="36" fillId="0" borderId="76" xfId="0" applyFont="1" applyBorder="1" applyAlignment="1">
      <alignment horizontal="center" vertical="center" wrapText="1"/>
    </xf>
    <xf numFmtId="0" fontId="36" fillId="0" borderId="77" xfId="0" applyFont="1" applyBorder="1" applyAlignment="1">
      <alignment horizontal="center" vertical="center" wrapText="1"/>
    </xf>
    <xf numFmtId="0" fontId="36" fillId="0" borderId="78" xfId="0" applyFont="1" applyBorder="1" applyAlignment="1">
      <alignment horizontal="center" vertical="center" wrapText="1"/>
    </xf>
    <xf numFmtId="0" fontId="36" fillId="0" borderId="79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6" xfId="0" applyFont="1" applyBorder="1" applyAlignment="1">
      <alignment horizontal="center" vertical="top"/>
    </xf>
    <xf numFmtId="0" fontId="36" fillId="8" borderId="9" xfId="0" applyFont="1" applyFill="1" applyBorder="1" applyAlignment="1">
      <alignment horizontal="center" vertical="top" wrapText="1"/>
    </xf>
    <xf numFmtId="0" fontId="13" fillId="0" borderId="72" xfId="0" applyFont="1" applyBorder="1" applyAlignment="1">
      <alignment horizontal="center" vertical="top"/>
    </xf>
    <xf numFmtId="0" fontId="13" fillId="0" borderId="80" xfId="0" applyFont="1" applyBorder="1" applyAlignment="1">
      <alignment horizontal="center" vertical="top"/>
    </xf>
    <xf numFmtId="0" fontId="13" fillId="0" borderId="81" xfId="0" applyFont="1" applyBorder="1" applyAlignment="1">
      <alignment horizontal="center" vertical="top"/>
    </xf>
    <xf numFmtId="0" fontId="13" fillId="0" borderId="73" xfId="0" applyFont="1" applyBorder="1" applyAlignment="1">
      <alignment horizontal="center" vertical="top"/>
    </xf>
    <xf numFmtId="0" fontId="13" fillId="0" borderId="72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73" xfId="0" applyFont="1" applyBorder="1" applyAlignment="1">
      <alignment horizontal="center" vertical="top" wrapText="1"/>
    </xf>
    <xf numFmtId="4" fontId="13" fillId="0" borderId="18" xfId="0" applyNumberFormat="1" applyFont="1" applyBorder="1" applyAlignment="1">
      <alignment horizontal="center" vertical="top"/>
    </xf>
    <xf numFmtId="4" fontId="13" fillId="0" borderId="80" xfId="0" applyNumberFormat="1" applyFont="1" applyBorder="1" applyAlignment="1">
      <alignment horizontal="center" vertical="top"/>
    </xf>
    <xf numFmtId="0" fontId="13" fillId="0" borderId="18" xfId="0" applyFont="1" applyBorder="1" applyAlignment="1">
      <alignment horizontal="center" vertical="top"/>
    </xf>
    <xf numFmtId="0" fontId="13" fillId="0" borderId="80" xfId="0" applyFont="1" applyBorder="1" applyAlignment="1">
      <alignment horizontal="center" vertical="top" wrapText="1"/>
    </xf>
    <xf numFmtId="0" fontId="37" fillId="0" borderId="82" xfId="0" applyFont="1" applyBorder="1" applyAlignment="1">
      <alignment horizontal="center" vertical="top"/>
    </xf>
    <xf numFmtId="0" fontId="37" fillId="0" borderId="83" xfId="0" applyFont="1" applyBorder="1" applyAlignment="1">
      <alignment horizontal="center" vertical="top"/>
    </xf>
    <xf numFmtId="0" fontId="13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4" fontId="36" fillId="2" borderId="72" xfId="0" applyNumberFormat="1" applyFont="1" applyFill="1" applyBorder="1" applyAlignment="1">
      <alignment horizontal="center" vertical="center"/>
    </xf>
    <xf numFmtId="4" fontId="36" fillId="2" borderId="18" xfId="0" applyNumberFormat="1" applyFont="1" applyFill="1" applyBorder="1" applyAlignment="1">
      <alignment horizontal="center" vertical="center"/>
    </xf>
    <xf numFmtId="4" fontId="36" fillId="2" borderId="80" xfId="0" applyNumberFormat="1" applyFont="1" applyFill="1" applyBorder="1" applyAlignment="1">
      <alignment horizontal="center" vertical="center"/>
    </xf>
    <xf numFmtId="4" fontId="36" fillId="2" borderId="81" xfId="0" applyNumberFormat="1" applyFont="1" applyFill="1" applyBorder="1" applyAlignment="1">
      <alignment horizontal="center" vertical="center"/>
    </xf>
    <xf numFmtId="8" fontId="36" fillId="0" borderId="84" xfId="0" applyNumberFormat="1" applyFont="1" applyBorder="1" applyAlignment="1">
      <alignment horizontal="center" vertical="center"/>
    </xf>
    <xf numFmtId="3" fontId="36" fillId="0" borderId="8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0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67" fontId="0" fillId="0" borderId="0" xfId="1" applyNumberFormat="1" applyFont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4" fillId="0" borderId="0" xfId="0" applyFont="1" applyAlignment="1">
      <alignment wrapText="1"/>
    </xf>
    <xf numFmtId="0" fontId="3" fillId="0" borderId="3" xfId="0" applyFont="1" applyBorder="1" applyAlignment="1">
      <alignment horizontal="center" wrapText="1"/>
    </xf>
    <xf numFmtId="0" fontId="45" fillId="0" borderId="0" xfId="0" applyFont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4" fontId="3" fillId="2" borderId="28" xfId="0" applyNumberFormat="1" applyFont="1" applyFill="1" applyBorder="1" applyAlignment="1">
      <alignment horizontal="center" vertical="center" wrapText="1"/>
    </xf>
    <xf numFmtId="167" fontId="3" fillId="2" borderId="0" xfId="1" applyNumberFormat="1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 wrapText="1"/>
    </xf>
    <xf numFmtId="167" fontId="3" fillId="0" borderId="0" xfId="1" applyNumberFormat="1" applyFont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37" fillId="0" borderId="0" xfId="0" applyFont="1" applyAlignment="1">
      <alignment horizontal="center" vertical="top"/>
    </xf>
    <xf numFmtId="0" fontId="36" fillId="0" borderId="87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1" fillId="0" borderId="82" xfId="0" applyFont="1" applyBorder="1" applyAlignment="1">
      <alignment horizontal="left" vertical="center" wrapText="1"/>
    </xf>
    <xf numFmtId="4" fontId="36" fillId="2" borderId="89" xfId="0" applyNumberFormat="1" applyFont="1" applyFill="1" applyBorder="1" applyAlignment="1">
      <alignment horizontal="center" vertical="center"/>
    </xf>
    <xf numFmtId="4" fontId="36" fillId="2" borderId="12" xfId="0" applyNumberFormat="1" applyFont="1" applyFill="1" applyBorder="1" applyAlignment="1">
      <alignment horizontal="center" vertical="center"/>
    </xf>
    <xf numFmtId="4" fontId="13" fillId="2" borderId="12" xfId="0" applyNumberFormat="1" applyFont="1" applyFill="1" applyBorder="1" applyAlignment="1">
      <alignment horizontal="center" vertical="center"/>
    </xf>
    <xf numFmtId="4" fontId="13" fillId="2" borderId="90" xfId="0" applyNumberFormat="1" applyFont="1" applyFill="1" applyBorder="1" applyAlignment="1">
      <alignment horizontal="center" vertical="center"/>
    </xf>
    <xf numFmtId="4" fontId="36" fillId="2" borderId="90" xfId="0" applyNumberFormat="1" applyFont="1" applyFill="1" applyBorder="1" applyAlignment="1">
      <alignment horizontal="center" vertical="center"/>
    </xf>
    <xf numFmtId="4" fontId="36" fillId="2" borderId="91" xfId="0" applyNumberFormat="1" applyFont="1" applyFill="1" applyBorder="1" applyAlignment="1">
      <alignment horizontal="center" vertical="center"/>
    </xf>
    <xf numFmtId="4" fontId="36" fillId="2" borderId="92" xfId="0" applyNumberFormat="1" applyFont="1" applyFill="1" applyBorder="1" applyAlignment="1">
      <alignment horizontal="center" vertical="center"/>
    </xf>
    <xf numFmtId="0" fontId="0" fillId="0" borderId="93" xfId="0" applyBorder="1"/>
    <xf numFmtId="0" fontId="1" fillId="0" borderId="84" xfId="0" applyFont="1" applyBorder="1"/>
    <xf numFmtId="4" fontId="0" fillId="0" borderId="94" xfId="0" applyNumberFormat="1" applyBorder="1" applyAlignment="1">
      <alignment horizontal="center"/>
    </xf>
    <xf numFmtId="4" fontId="0" fillId="0" borderId="95" xfId="0" applyNumberFormat="1" applyBorder="1" applyAlignment="1">
      <alignment horizontal="center"/>
    </xf>
    <xf numFmtId="4" fontId="0" fillId="2" borderId="95" xfId="0" applyNumberFormat="1" applyFill="1" applyBorder="1" applyAlignment="1">
      <alignment horizontal="center"/>
    </xf>
    <xf numFmtId="4" fontId="1" fillId="2" borderId="95" xfId="0" applyNumberFormat="1" applyFont="1" applyFill="1" applyBorder="1" applyAlignment="1">
      <alignment horizontal="center"/>
    </xf>
    <xf numFmtId="4" fontId="1" fillId="2" borderId="96" xfId="0" applyNumberFormat="1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10" fillId="0" borderId="1" xfId="0" applyNumberFormat="1" applyFont="1" applyBorder="1" applyAlignment="1">
      <alignment wrapText="1"/>
    </xf>
    <xf numFmtId="3" fontId="0" fillId="2" borderId="2" xfId="0" applyNumberForma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1" xfId="0" applyFont="1" applyFill="1" applyBorder="1"/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6" fillId="0" borderId="0" xfId="0" applyFont="1"/>
    <xf numFmtId="3" fontId="9" fillId="0" borderId="1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47" fillId="0" borderId="0" xfId="0" applyFont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15" fillId="0" borderId="0" xfId="0" applyNumberFormat="1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4" fontId="3" fillId="0" borderId="0" xfId="0" applyNumberFormat="1" applyFont="1" applyAlignment="1">
      <alignment horizont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wrapText="1"/>
    </xf>
    <xf numFmtId="4" fontId="48" fillId="0" borderId="0" xfId="0" applyNumberFormat="1" applyFont="1"/>
    <xf numFmtId="4" fontId="49" fillId="0" borderId="0" xfId="0" applyNumberFormat="1" applyFont="1"/>
    <xf numFmtId="0" fontId="50" fillId="0" borderId="0" xfId="0" applyFont="1"/>
    <xf numFmtId="4" fontId="36" fillId="0" borderId="12" xfId="0" applyNumberFormat="1" applyFont="1" applyBorder="1" applyAlignment="1">
      <alignment horizontal="center" vertical="center"/>
    </xf>
    <xf numFmtId="4" fontId="13" fillId="0" borderId="12" xfId="0" applyNumberFormat="1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/>
    </xf>
    <xf numFmtId="0" fontId="1" fillId="0" borderId="98" xfId="0" applyFont="1" applyBorder="1" applyAlignment="1">
      <alignment horizontal="left" vertical="center" wrapText="1"/>
    </xf>
    <xf numFmtId="4" fontId="36" fillId="2" borderId="99" xfId="0" applyNumberFormat="1" applyFont="1" applyFill="1" applyBorder="1" applyAlignment="1">
      <alignment horizontal="center" vertical="center"/>
    </xf>
    <xf numFmtId="4" fontId="36" fillId="2" borderId="5" xfId="0" applyNumberFormat="1" applyFont="1" applyFill="1" applyBorder="1" applyAlignment="1">
      <alignment horizontal="center" vertical="center"/>
    </xf>
    <xf numFmtId="4" fontId="36" fillId="0" borderId="1" xfId="0" applyNumberFormat="1" applyFont="1" applyBorder="1" applyAlignment="1">
      <alignment horizontal="center" vertical="center"/>
    </xf>
    <xf numFmtId="4" fontId="36" fillId="2" borderId="1" xfId="0" applyNumberFormat="1" applyFont="1" applyFill="1" applyBorder="1" applyAlignment="1">
      <alignment horizontal="center" vertical="center"/>
    </xf>
    <xf numFmtId="4" fontId="36" fillId="0" borderId="4" xfId="0" applyNumberFormat="1" applyFont="1" applyBorder="1" applyAlignment="1">
      <alignment horizontal="center" vertical="center"/>
    </xf>
    <xf numFmtId="4" fontId="36" fillId="2" borderId="4" xfId="0" applyNumberFormat="1" applyFont="1" applyFill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4" fontId="13" fillId="2" borderId="4" xfId="0" applyNumberFormat="1" applyFont="1" applyFill="1" applyBorder="1" applyAlignment="1">
      <alignment horizontal="center" vertical="center"/>
    </xf>
    <xf numFmtId="4" fontId="13" fillId="2" borderId="11" xfId="0" applyNumberFormat="1" applyFont="1" applyFill="1" applyBorder="1" applyAlignment="1">
      <alignment horizontal="center" vertical="center"/>
    </xf>
    <xf numFmtId="4" fontId="36" fillId="2" borderId="1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36" fillId="2" borderId="100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vertical="center" wrapText="1"/>
    </xf>
    <xf numFmtId="4" fontId="45" fillId="0" borderId="1" xfId="0" applyNumberFormat="1" applyFont="1" applyBorder="1" applyAlignment="1">
      <alignment horizontal="center" vertical="center" wrapText="1"/>
    </xf>
    <xf numFmtId="0" fontId="45" fillId="0" borderId="1" xfId="0" applyFont="1" applyBorder="1" applyAlignment="1">
      <alignment wrapText="1"/>
    </xf>
    <xf numFmtId="4" fontId="45" fillId="0" borderId="1" xfId="0" applyNumberFormat="1" applyFont="1" applyBorder="1" applyAlignment="1">
      <alignment horizontal="center" wrapText="1"/>
    </xf>
    <xf numFmtId="0" fontId="51" fillId="0" borderId="1" xfId="0" applyFont="1" applyBorder="1"/>
    <xf numFmtId="0" fontId="44" fillId="0" borderId="1" xfId="0" applyFont="1" applyBorder="1" applyAlignment="1">
      <alignment horizontal="right"/>
    </xf>
    <xf numFmtId="0" fontId="36" fillId="0" borderId="103" xfId="0" applyFont="1" applyBorder="1" applyAlignment="1">
      <alignment horizontal="center" vertical="center" wrapText="1"/>
    </xf>
    <xf numFmtId="0" fontId="36" fillId="0" borderId="104" xfId="0" applyFont="1" applyBorder="1" applyAlignment="1">
      <alignment horizontal="center" vertical="center" wrapText="1"/>
    </xf>
    <xf numFmtId="0" fontId="4" fillId="0" borderId="93" xfId="0" applyFont="1" applyBorder="1"/>
    <xf numFmtId="0" fontId="52" fillId="0" borderId="84" xfId="0" applyFont="1" applyBorder="1" applyAlignment="1">
      <alignment wrapText="1"/>
    </xf>
    <xf numFmtId="0" fontId="4" fillId="0" borderId="106" xfId="0" applyFont="1" applyBorder="1" applyAlignment="1">
      <alignment horizontal="center" vertical="center"/>
    </xf>
    <xf numFmtId="0" fontId="48" fillId="0" borderId="107" xfId="0" applyFont="1" applyBorder="1" applyAlignment="1">
      <alignment wrapText="1"/>
    </xf>
    <xf numFmtId="4" fontId="31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4" fillId="2" borderId="1" xfId="0" applyNumberFormat="1" applyFont="1" applyFill="1" applyBorder="1" applyAlignment="1">
      <alignment horizontal="center"/>
    </xf>
    <xf numFmtId="4" fontId="48" fillId="2" borderId="94" xfId="0" applyNumberFormat="1" applyFont="1" applyFill="1" applyBorder="1" applyAlignment="1">
      <alignment horizontal="center"/>
    </xf>
    <xf numFmtId="4" fontId="48" fillId="2" borderId="95" xfId="0" applyNumberFormat="1" applyFont="1" applyFill="1" applyBorder="1" applyAlignment="1">
      <alignment horizontal="center"/>
    </xf>
    <xf numFmtId="4" fontId="4" fillId="2" borderId="95" xfId="0" applyNumberFormat="1" applyFont="1" applyFill="1" applyBorder="1" applyAlignment="1">
      <alignment horizontal="center"/>
    </xf>
    <xf numFmtId="4" fontId="48" fillId="2" borderId="105" xfId="0" applyNumberFormat="1" applyFont="1" applyFill="1" applyBorder="1" applyAlignment="1">
      <alignment horizontal="center"/>
    </xf>
    <xf numFmtId="4" fontId="48" fillId="2" borderId="96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48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11" fillId="2" borderId="99" xfId="0" applyNumberFormat="1" applyFont="1" applyFill="1" applyBorder="1" applyAlignment="1">
      <alignment horizontal="center" vertical="center"/>
    </xf>
    <xf numFmtId="4" fontId="11" fillId="2" borderId="100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 wrapText="1"/>
    </xf>
    <xf numFmtId="4" fontId="0" fillId="0" borderId="1" xfId="0" applyNumberFormat="1" applyBorder="1" applyAlignment="1">
      <alignment vertical="center"/>
    </xf>
    <xf numFmtId="0" fontId="14" fillId="0" borderId="67" xfId="0" applyFont="1" applyBorder="1"/>
    <xf numFmtId="0" fontId="13" fillId="0" borderId="108" xfId="0" applyFont="1" applyBorder="1" applyAlignment="1">
      <alignment vertical="center" wrapText="1"/>
    </xf>
    <xf numFmtId="0" fontId="13" fillId="0" borderId="35" xfId="0" applyFont="1" applyBorder="1" applyAlignment="1">
      <alignment horizontal="center" wrapText="1"/>
    </xf>
    <xf numFmtId="0" fontId="13" fillId="0" borderId="68" xfId="0" applyFont="1" applyBorder="1" applyAlignment="1">
      <alignment horizontal="center" wrapText="1"/>
    </xf>
    <xf numFmtId="0" fontId="14" fillId="0" borderId="99" xfId="0" applyFont="1" applyBorder="1"/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 wrapText="1"/>
    </xf>
    <xf numFmtId="0" fontId="0" fillId="0" borderId="105" xfId="0" applyBorder="1"/>
    <xf numFmtId="0" fontId="0" fillId="0" borderId="95" xfId="0" applyBorder="1"/>
    <xf numFmtId="2" fontId="0" fillId="0" borderId="95" xfId="0" applyNumberFormat="1" applyBorder="1" applyAlignment="1">
      <alignment horizontal="center"/>
    </xf>
    <xf numFmtId="4" fontId="0" fillId="0" borderId="109" xfId="0" applyNumberForma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4" fontId="31" fillId="2" borderId="1" xfId="0" applyNumberFormat="1" applyFon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28" xfId="0" applyFont="1" applyFill="1" applyBorder="1"/>
    <xf numFmtId="0" fontId="0" fillId="2" borderId="110" xfId="0" applyFill="1" applyBorder="1"/>
    <xf numFmtId="0" fontId="0" fillId="2" borderId="30" xfId="0" applyFill="1" applyBorder="1"/>
    <xf numFmtId="4" fontId="3" fillId="0" borderId="0" xfId="0" applyNumberFormat="1" applyFont="1" applyAlignment="1">
      <alignment horizontal="center"/>
    </xf>
    <xf numFmtId="0" fontId="4" fillId="2" borderId="76" xfId="0" applyFont="1" applyFill="1" applyBorder="1"/>
    <xf numFmtId="0" fontId="0" fillId="2" borderId="75" xfId="0" applyFill="1" applyBorder="1"/>
    <xf numFmtId="0" fontId="0" fillId="2" borderId="11" xfId="0" applyFill="1" applyBorder="1"/>
    <xf numFmtId="0" fontId="0" fillId="2" borderId="111" xfId="0" applyFill="1" applyBorder="1"/>
    <xf numFmtId="0" fontId="0" fillId="2" borderId="10" xfId="0" applyFill="1" applyBorder="1"/>
    <xf numFmtId="3" fontId="0" fillId="0" borderId="1" xfId="0" applyNumberFormat="1" applyBorder="1" applyAlignment="1">
      <alignment horizontal="center" vertical="center"/>
    </xf>
    <xf numFmtId="4" fontId="0" fillId="0" borderId="76" xfId="0" applyNumberFormat="1" applyBorder="1" applyAlignment="1">
      <alignment wrapText="1"/>
    </xf>
    <xf numFmtId="0" fontId="0" fillId="0" borderId="110" xfId="0" applyBorder="1" applyAlignment="1">
      <alignment wrapText="1"/>
    </xf>
    <xf numFmtId="4" fontId="0" fillId="0" borderId="30" xfId="0" applyNumberFormat="1" applyBorder="1" applyAlignment="1">
      <alignment wrapText="1"/>
    </xf>
    <xf numFmtId="0" fontId="0" fillId="0" borderId="76" xfId="0" applyBorder="1"/>
    <xf numFmtId="0" fontId="0" fillId="0" borderId="112" xfId="0" applyBorder="1" applyAlignment="1">
      <alignment wrapText="1"/>
    </xf>
    <xf numFmtId="4" fontId="0" fillId="0" borderId="5" xfId="0" applyNumberFormat="1" applyBorder="1" applyAlignment="1">
      <alignment wrapText="1"/>
    </xf>
    <xf numFmtId="0" fontId="0" fillId="0" borderId="13" xfId="0" applyBorder="1" applyAlignment="1">
      <alignment wrapText="1"/>
    </xf>
    <xf numFmtId="4" fontId="0" fillId="0" borderId="75" xfId="0" applyNumberFormat="1" applyBorder="1" applyAlignment="1">
      <alignment wrapText="1"/>
    </xf>
    <xf numFmtId="0" fontId="0" fillId="0" borderId="112" xfId="0" applyBorder="1"/>
    <xf numFmtId="3" fontId="0" fillId="0" borderId="76" xfId="0" applyNumberFormat="1" applyBorder="1"/>
    <xf numFmtId="0" fontId="14" fillId="0" borderId="1" xfId="0" applyFont="1" applyBorder="1" applyAlignment="1">
      <alignment wrapText="1"/>
    </xf>
    <xf numFmtId="4" fontId="1" fillId="2" borderId="0" xfId="0" applyNumberFormat="1" applyFont="1" applyFill="1"/>
    <xf numFmtId="4" fontId="3" fillId="0" borderId="1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wrapText="1"/>
    </xf>
    <xf numFmtId="4" fontId="3" fillId="0" borderId="5" xfId="0" applyNumberFormat="1" applyFont="1" applyBorder="1" applyAlignment="1">
      <alignment horizontal="right" wrapText="1"/>
    </xf>
    <xf numFmtId="4" fontId="3" fillId="0" borderId="13" xfId="0" applyNumberFormat="1" applyFont="1" applyBorder="1" applyAlignment="1">
      <alignment horizontal="center" wrapText="1"/>
    </xf>
    <xf numFmtId="4" fontId="3" fillId="0" borderId="0" xfId="0" applyNumberFormat="1" applyFont="1" applyAlignment="1">
      <alignment horizontal="right" wrapText="1"/>
    </xf>
    <xf numFmtId="4" fontId="0" fillId="0" borderId="1" xfId="0" applyNumberFormat="1" applyBorder="1" applyAlignment="1">
      <alignment horizontal="right"/>
    </xf>
    <xf numFmtId="4" fontId="4" fillId="0" borderId="13" xfId="0" applyNumberFormat="1" applyFont="1" applyBorder="1"/>
    <xf numFmtId="4" fontId="0" fillId="0" borderId="0" xfId="0" applyNumberFormat="1" applyAlignment="1">
      <alignment horizontal="right"/>
    </xf>
    <xf numFmtId="4" fontId="0" fillId="0" borderId="13" xfId="0" applyNumberFormat="1" applyBorder="1" applyAlignment="1">
      <alignment horizontal="right"/>
    </xf>
    <xf numFmtId="4" fontId="0" fillId="0" borderId="75" xfId="0" applyNumberFormat="1" applyBorder="1"/>
    <xf numFmtId="4" fontId="4" fillId="0" borderId="5" xfId="0" applyNumberFormat="1" applyFont="1" applyBorder="1"/>
    <xf numFmtId="0" fontId="0" fillId="0" borderId="110" xfId="0" applyBorder="1"/>
    <xf numFmtId="4" fontId="0" fillId="2" borderId="2" xfId="0" applyNumberFormat="1" applyFill="1" applyBorder="1"/>
    <xf numFmtId="0" fontId="0" fillId="2" borderId="110" xfId="0" applyFill="1" applyBorder="1" applyAlignment="1">
      <alignment horizontal="right"/>
    </xf>
    <xf numFmtId="0" fontId="0" fillId="2" borderId="2" xfId="0" applyFill="1" applyBorder="1"/>
    <xf numFmtId="0" fontId="0" fillId="0" borderId="4" xfId="0" applyBorder="1"/>
    <xf numFmtId="0" fontId="0" fillId="0" borderId="111" xfId="0" applyBorder="1"/>
    <xf numFmtId="4" fontId="1" fillId="2" borderId="4" xfId="0" applyNumberFormat="1" applyFont="1" applyFill="1" applyBorder="1"/>
    <xf numFmtId="4" fontId="1" fillId="2" borderId="111" xfId="0" applyNumberFormat="1" applyFont="1" applyFill="1" applyBorder="1" applyAlignment="1">
      <alignment horizontal="right"/>
    </xf>
    <xf numFmtId="4" fontId="0" fillId="2" borderId="0" xfId="0" applyNumberFormat="1" applyFill="1"/>
    <xf numFmtId="4" fontId="53" fillId="9" borderId="0" xfId="0" applyNumberFormat="1" applyFont="1" applyFill="1"/>
    <xf numFmtId="0" fontId="3" fillId="2" borderId="1" xfId="0" applyFont="1" applyFill="1" applyBorder="1" applyAlignment="1">
      <alignment vertical="center" wrapText="1"/>
    </xf>
    <xf numFmtId="4" fontId="14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wrapText="1"/>
    </xf>
    <xf numFmtId="4" fontId="0" fillId="0" borderId="1" xfId="0" applyNumberFormat="1" applyBorder="1" applyAlignment="1">
      <alignment horizontal="center"/>
    </xf>
    <xf numFmtId="0" fontId="0" fillId="2" borderId="13" xfId="0" applyFill="1" applyBorder="1"/>
    <xf numFmtId="4" fontId="40" fillId="2" borderId="1" xfId="0" applyNumberFormat="1" applyFont="1" applyFill="1" applyBorder="1"/>
    <xf numFmtId="4" fontId="31" fillId="0" borderId="2" xfId="0" applyNumberFormat="1" applyFont="1" applyBorder="1" applyAlignment="1">
      <alignment horizontal="center"/>
    </xf>
    <xf numFmtId="4" fontId="1" fillId="2" borderId="1" xfId="0" applyNumberFormat="1" applyFont="1" applyFill="1" applyBorder="1"/>
    <xf numFmtId="4" fontId="0" fillId="0" borderId="0" xfId="0" applyNumberFormat="1" applyAlignment="1">
      <alignment wrapText="1"/>
    </xf>
    <xf numFmtId="3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6" fillId="0" borderId="0" xfId="0" applyFont="1" applyAlignment="1">
      <alignment horizontal="justify" vertical="center"/>
    </xf>
    <xf numFmtId="0" fontId="55" fillId="0" borderId="0" xfId="0" applyFont="1" applyAlignment="1">
      <alignment horizontal="left" vertical="center"/>
    </xf>
    <xf numFmtId="0" fontId="56" fillId="0" borderId="113" xfId="0" applyFont="1" applyBorder="1" applyAlignment="1">
      <alignment horizontal="left" vertical="center" wrapText="1"/>
    </xf>
    <xf numFmtId="0" fontId="56" fillId="0" borderId="114" xfId="0" applyFont="1" applyBorder="1" applyAlignment="1">
      <alignment horizontal="center" vertical="center" wrapText="1"/>
    </xf>
    <xf numFmtId="0" fontId="55" fillId="0" borderId="116" xfId="0" applyFont="1" applyBorder="1" applyAlignment="1">
      <alignment horizontal="left" vertical="center" wrapText="1"/>
    </xf>
    <xf numFmtId="0" fontId="55" fillId="0" borderId="115" xfId="0" applyFont="1" applyBorder="1" applyAlignment="1">
      <alignment horizontal="justify" vertical="center" wrapText="1"/>
    </xf>
    <xf numFmtId="0" fontId="55" fillId="0" borderId="115" xfId="0" applyFont="1" applyBorder="1" applyAlignment="1">
      <alignment horizontal="left" vertical="center" wrapText="1"/>
    </xf>
    <xf numFmtId="0" fontId="55" fillId="0" borderId="117" xfId="0" applyFont="1" applyBorder="1" applyAlignment="1">
      <alignment horizontal="center" vertical="center" wrapText="1"/>
    </xf>
    <xf numFmtId="0" fontId="56" fillId="0" borderId="115" xfId="0" applyFont="1" applyBorder="1" applyAlignment="1">
      <alignment horizontal="left" vertical="center" wrapText="1"/>
    </xf>
    <xf numFmtId="0" fontId="56" fillId="0" borderId="11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0" fontId="35" fillId="0" borderId="9" xfId="0" applyFont="1" applyBorder="1" applyAlignment="1">
      <alignment horizontal="center" vertical="top" wrapText="1"/>
    </xf>
    <xf numFmtId="0" fontId="35" fillId="0" borderId="8" xfId="0" applyFont="1" applyBorder="1" applyAlignment="1">
      <alignment horizontal="center" vertical="top" wrapText="1"/>
    </xf>
    <xf numFmtId="4" fontId="14" fillId="0" borderId="0" xfId="0" applyNumberFormat="1" applyFont="1"/>
    <xf numFmtId="4" fontId="3" fillId="0" borderId="1" xfId="0" applyNumberFormat="1" applyFont="1" applyBorder="1" applyAlignment="1">
      <alignment horizontal="left"/>
    </xf>
    <xf numFmtId="4" fontId="58" fillId="0" borderId="0" xfId="0" applyNumberFormat="1" applyFont="1"/>
    <xf numFmtId="4" fontId="9" fillId="0" borderId="0" xfId="0" applyNumberFormat="1" applyFont="1" applyAlignment="1">
      <alignment horizontal="right"/>
    </xf>
    <xf numFmtId="0" fontId="0" fillId="0" borderId="76" xfId="0" applyBorder="1" applyAlignment="1">
      <alignment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0" xfId="0" applyNumberFormat="1" applyFont="1" applyFill="1" applyAlignment="1">
      <alignment horizontal="right" vertical="center" wrapText="1"/>
    </xf>
    <xf numFmtId="4" fontId="3" fillId="0" borderId="0" xfId="0" applyNumberFormat="1" applyFont="1" applyAlignment="1">
      <alignment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2" borderId="0" xfId="0" applyNumberFormat="1" applyFill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4" fontId="57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4" fontId="15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13" fillId="0" borderId="76" xfId="0" applyNumberFormat="1" applyFont="1" applyBorder="1" applyAlignment="1">
      <alignment horizontal="right" vertical="center" wrapText="1"/>
    </xf>
    <xf numFmtId="4" fontId="59" fillId="0" borderId="0" xfId="0" applyNumberFormat="1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4" fontId="57" fillId="0" borderId="0" xfId="0" applyNumberFormat="1" applyFont="1" applyAlignment="1">
      <alignment wrapText="1"/>
    </xf>
    <xf numFmtId="4" fontId="58" fillId="0" borderId="0" xfId="0" applyNumberFormat="1" applyFont="1" applyAlignment="1">
      <alignment horizontal="right" vertical="center" wrapText="1"/>
    </xf>
    <xf numFmtId="4" fontId="58" fillId="0" borderId="0" xfId="0" applyNumberFormat="1" applyFont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/>
    <xf numFmtId="4" fontId="46" fillId="0" borderId="0" xfId="0" applyNumberFormat="1" applyFont="1"/>
    <xf numFmtId="0" fontId="0" fillId="0" borderId="1" xfId="0" applyBorder="1" applyAlignment="1">
      <alignment horizontal="left" wrapText="1"/>
    </xf>
    <xf numFmtId="4" fontId="14" fillId="0" borderId="1" xfId="0" applyNumberFormat="1" applyFont="1" applyBorder="1"/>
    <xf numFmtId="0" fontId="0" fillId="4" borderId="1" xfId="0" applyFill="1" applyBorder="1" applyAlignment="1">
      <alignment wrapText="1"/>
    </xf>
    <xf numFmtId="0" fontId="0" fillId="4" borderId="1" xfId="0" applyFill="1" applyBorder="1"/>
    <xf numFmtId="3" fontId="3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left" wrapText="1"/>
    </xf>
    <xf numFmtId="4" fontId="9" fillId="0" borderId="28" xfId="0" applyNumberFormat="1" applyFont="1" applyBorder="1" applyAlignment="1">
      <alignment horizontal="center"/>
    </xf>
    <xf numFmtId="4" fontId="9" fillId="0" borderId="30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9" fillId="0" borderId="5" xfId="0" applyNumberFormat="1" applyFont="1" applyBorder="1" applyAlignment="1">
      <alignment horizontal="center"/>
    </xf>
    <xf numFmtId="4" fontId="13" fillId="0" borderId="4" xfId="0" applyNumberFormat="1" applyFont="1" applyBorder="1" applyAlignment="1">
      <alignment horizontal="center" wrapText="1"/>
    </xf>
    <xf numFmtId="4" fontId="0" fillId="0" borderId="2" xfId="0" applyNumberFormat="1" applyBorder="1" applyAlignment="1">
      <alignment wrapText="1"/>
    </xf>
    <xf numFmtId="4" fontId="0" fillId="0" borderId="2" xfId="0" applyNumberFormat="1" applyBorder="1"/>
    <xf numFmtId="3" fontId="5" fillId="0" borderId="1" xfId="0" applyNumberFormat="1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3" fontId="0" fillId="2" borderId="1" xfId="0" applyNumberFormat="1" applyFill="1" applyBorder="1"/>
    <xf numFmtId="49" fontId="0" fillId="2" borderId="1" xfId="0" applyNumberFormat="1" applyFill="1" applyBorder="1"/>
    <xf numFmtId="4" fontId="14" fillId="2" borderId="1" xfId="0" applyNumberFormat="1" applyFont="1" applyFill="1" applyBorder="1"/>
    <xf numFmtId="4" fontId="0" fillId="10" borderId="1" xfId="0" applyNumberFormat="1" applyFill="1" applyBorder="1" applyAlignment="1">
      <alignment wrapText="1"/>
    </xf>
    <xf numFmtId="4" fontId="0" fillId="2" borderId="1" xfId="0" applyNumberFormat="1" applyFill="1" applyBorder="1"/>
    <xf numFmtId="3" fontId="0" fillId="2" borderId="0" xfId="0" applyNumberFormat="1" applyFill="1"/>
    <xf numFmtId="4" fontId="1" fillId="0" borderId="0" xfId="0" applyNumberFormat="1" applyFont="1"/>
    <xf numFmtId="3" fontId="1" fillId="0" borderId="0" xfId="0" applyNumberFormat="1" applyFont="1"/>
    <xf numFmtId="0" fontId="0" fillId="4" borderId="0" xfId="0" applyFill="1" applyAlignment="1">
      <alignment horizontal="right"/>
    </xf>
    <xf numFmtId="0" fontId="14" fillId="2" borderId="4" xfId="0" applyFont="1" applyFill="1" applyBorder="1" applyAlignment="1">
      <alignment vertical="center" wrapText="1"/>
    </xf>
    <xf numFmtId="0" fontId="13" fillId="2" borderId="80" xfId="0" applyFont="1" applyFill="1" applyBorder="1" applyAlignment="1">
      <alignment horizontal="center" wrapText="1"/>
    </xf>
    <xf numFmtId="0" fontId="13" fillId="2" borderId="11" xfId="0" applyFont="1" applyFill="1" applyBorder="1" applyAlignment="1">
      <alignment horizontal="center" wrapText="1"/>
    </xf>
    <xf numFmtId="4" fontId="13" fillId="2" borderId="4" xfId="0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4" fontId="13" fillId="2" borderId="12" xfId="0" applyNumberFormat="1" applyFont="1" applyFill="1" applyBorder="1" applyAlignment="1">
      <alignment horizontal="center" wrapText="1"/>
    </xf>
    <xf numFmtId="0" fontId="13" fillId="2" borderId="80" xfId="0" applyFont="1" applyFill="1" applyBorder="1" applyAlignment="1">
      <alignment horizontal="center"/>
    </xf>
    <xf numFmtId="0" fontId="13" fillId="2" borderId="90" xfId="0" applyFont="1" applyFill="1" applyBorder="1" applyAlignment="1">
      <alignment horizontal="center"/>
    </xf>
    <xf numFmtId="168" fontId="0" fillId="0" borderId="0" xfId="0" applyNumberFormat="1"/>
    <xf numFmtId="168" fontId="3" fillId="0" borderId="0" xfId="0" applyNumberFormat="1" applyFont="1"/>
    <xf numFmtId="168" fontId="4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8" fontId="4" fillId="0" borderId="0" xfId="0" applyNumberFormat="1" applyFont="1"/>
    <xf numFmtId="3" fontId="3" fillId="0" borderId="2" xfId="0" applyNumberFormat="1" applyFont="1" applyBorder="1" applyAlignment="1">
      <alignment horizontal="left" wrapText="1"/>
    </xf>
    <xf numFmtId="4" fontId="10" fillId="0" borderId="1" xfId="0" applyNumberFormat="1" applyFont="1" applyBorder="1" applyAlignment="1">
      <alignment horizontal="right"/>
    </xf>
    <xf numFmtId="4" fontId="9" fillId="4" borderId="1" xfId="0" applyNumberFormat="1" applyFont="1" applyFill="1" applyBorder="1" applyAlignment="1">
      <alignment horizontal="center"/>
    </xf>
    <xf numFmtId="4" fontId="9" fillId="11" borderId="1" xfId="0" applyNumberFormat="1" applyFont="1" applyFill="1" applyBorder="1" applyAlignment="1">
      <alignment horizontal="center"/>
    </xf>
    <xf numFmtId="2" fontId="3" fillId="0" borderId="1" xfId="0" applyNumberFormat="1" applyFont="1" applyBorder="1"/>
    <xf numFmtId="0" fontId="3" fillId="0" borderId="13" xfId="0" applyFont="1" applyBorder="1"/>
    <xf numFmtId="3" fontId="9" fillId="0" borderId="13" xfId="0" applyNumberFormat="1" applyFont="1" applyBorder="1"/>
    <xf numFmtId="168" fontId="0" fillId="0" borderId="0" xfId="0" applyNumberFormat="1" applyAlignment="1">
      <alignment vertical="center"/>
    </xf>
    <xf numFmtId="0" fontId="4" fillId="4" borderId="0" xfId="0" applyFont="1" applyFill="1"/>
    <xf numFmtId="0" fontId="4" fillId="11" borderId="0" xfId="0" applyFont="1" applyFill="1"/>
    <xf numFmtId="0" fontId="12" fillId="0" borderId="89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99" xfId="0" applyFont="1" applyBorder="1" applyAlignment="1">
      <alignment horizontal="center" wrapText="1"/>
    </xf>
    <xf numFmtId="168" fontId="13" fillId="0" borderId="0" xfId="0" applyNumberFormat="1" applyFont="1" applyAlignment="1">
      <alignment horizontal="center" wrapText="1"/>
    </xf>
    <xf numFmtId="4" fontId="13" fillId="0" borderId="0" xfId="0" applyNumberFormat="1" applyFont="1" applyAlignment="1">
      <alignment horizontal="center" wrapText="1"/>
    </xf>
    <xf numFmtId="4" fontId="15" fillId="0" borderId="0" xfId="0" applyNumberFormat="1" applyFont="1" applyAlignment="1">
      <alignment horizontal="center"/>
    </xf>
    <xf numFmtId="4" fontId="0" fillId="0" borderId="13" xfId="0" applyNumberFormat="1" applyBorder="1"/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right"/>
    </xf>
    <xf numFmtId="49" fontId="61" fillId="0" borderId="119" xfId="4" applyNumberFormat="1" applyFont="1" applyBorder="1" applyAlignment="1">
      <alignment horizontal="right"/>
    </xf>
    <xf numFmtId="49" fontId="61" fillId="0" borderId="3" xfId="4" applyNumberFormat="1" applyFont="1" applyBorder="1" applyAlignment="1">
      <alignment horizontal="center"/>
    </xf>
    <xf numFmtId="49" fontId="61" fillId="0" borderId="1" xfId="4" applyNumberFormat="1" applyFont="1" applyBorder="1" applyAlignment="1">
      <alignment horizontal="center"/>
    </xf>
    <xf numFmtId="3" fontId="62" fillId="0" borderId="1" xfId="4" applyNumberFormat="1" applyFont="1" applyBorder="1" applyAlignment="1">
      <alignment horizontal="center" wrapText="1"/>
    </xf>
    <xf numFmtId="1" fontId="62" fillId="0" borderId="1" xfId="4" applyNumberFormat="1" applyFont="1" applyBorder="1" applyAlignment="1">
      <alignment horizontal="center"/>
    </xf>
    <xf numFmtId="2" fontId="62" fillId="0" borderId="1" xfId="4" applyNumberFormat="1" applyFont="1" applyBorder="1" applyAlignment="1">
      <alignment horizontal="center" wrapText="1"/>
    </xf>
    <xf numFmtId="0" fontId="62" fillId="0" borderId="1" xfId="4" applyFont="1" applyBorder="1" applyAlignment="1">
      <alignment horizontal="center" wrapText="1"/>
    </xf>
    <xf numFmtId="2" fontId="62" fillId="0" borderId="1" xfId="4" applyNumberFormat="1" applyFont="1" applyBorder="1"/>
    <xf numFmtId="1" fontId="62" fillId="0" borderId="1" xfId="4" applyNumberFormat="1" applyFont="1" applyBorder="1"/>
    <xf numFmtId="0" fontId="62" fillId="0" borderId="1" xfId="4" applyFont="1" applyBorder="1" applyAlignment="1">
      <alignment horizontal="center"/>
    </xf>
    <xf numFmtId="1" fontId="62" fillId="0" borderId="1" xfId="4" applyNumberFormat="1" applyFont="1" applyBorder="1" applyAlignment="1">
      <alignment horizontal="right"/>
    </xf>
    <xf numFmtId="169" fontId="62" fillId="0" borderId="1" xfId="4" applyNumberFormat="1" applyFont="1" applyBorder="1"/>
    <xf numFmtId="1" fontId="62" fillId="0" borderId="1" xfId="4" applyNumberFormat="1" applyFont="1" applyBorder="1" applyAlignment="1">
      <alignment horizontal="center" wrapText="1"/>
    </xf>
    <xf numFmtId="49" fontId="63" fillId="0" borderId="0" xfId="4" applyNumberFormat="1" applyFont="1" applyAlignment="1">
      <alignment wrapText="1"/>
    </xf>
    <xf numFmtId="2" fontId="63" fillId="0" borderId="0" xfId="4" applyNumberFormat="1" applyFont="1" applyAlignment="1">
      <alignment wrapText="1"/>
    </xf>
    <xf numFmtId="0" fontId="63" fillId="0" borderId="0" xfId="4" applyFont="1" applyAlignment="1">
      <alignment wrapText="1"/>
    </xf>
    <xf numFmtId="0" fontId="60" fillId="0" borderId="0" xfId="4"/>
    <xf numFmtId="0" fontId="61" fillId="0" borderId="120" xfId="4" applyFont="1" applyBorder="1" applyAlignment="1">
      <alignment horizontal="center"/>
    </xf>
    <xf numFmtId="0" fontId="61" fillId="0" borderId="119" xfId="4" applyFont="1" applyBorder="1" applyAlignment="1">
      <alignment horizontal="center"/>
    </xf>
    <xf numFmtId="1" fontId="62" fillId="0" borderId="121" xfId="4" applyNumberFormat="1" applyFont="1" applyBorder="1"/>
    <xf numFmtId="2" fontId="62" fillId="0" borderId="121" xfId="4" applyNumberFormat="1" applyFont="1" applyBorder="1"/>
    <xf numFmtId="170" fontId="62" fillId="0" borderId="121" xfId="4" applyNumberFormat="1" applyFont="1" applyBorder="1"/>
    <xf numFmtId="3" fontId="62" fillId="0" borderId="121" xfId="4" quotePrefix="1" applyNumberFormat="1" applyFont="1" applyBorder="1"/>
    <xf numFmtId="3" fontId="62" fillId="0" borderId="121" xfId="4" applyNumberFormat="1" applyFont="1" applyBorder="1"/>
    <xf numFmtId="169" fontId="62" fillId="0" borderId="121" xfId="4" applyNumberFormat="1" applyFont="1" applyBorder="1"/>
    <xf numFmtId="0" fontId="62" fillId="0" borderId="121" xfId="4" applyFont="1" applyBorder="1"/>
    <xf numFmtId="14" fontId="62" fillId="0" borderId="121" xfId="4" applyNumberFormat="1" applyFont="1" applyBorder="1"/>
    <xf numFmtId="1" fontId="62" fillId="0" borderId="121" xfId="4" applyNumberFormat="1" applyFont="1" applyBorder="1" applyAlignment="1">
      <alignment horizontal="right"/>
    </xf>
    <xf numFmtId="1" fontId="62" fillId="0" borderId="122" xfId="4" applyNumberFormat="1" applyFont="1" applyBorder="1" applyAlignment="1">
      <alignment horizontal="right"/>
    </xf>
    <xf numFmtId="49" fontId="60" fillId="0" borderId="0" xfId="4" applyNumberFormat="1"/>
    <xf numFmtId="4" fontId="60" fillId="0" borderId="0" xfId="4" applyNumberFormat="1"/>
    <xf numFmtId="169" fontId="62" fillId="0" borderId="121" xfId="4" quotePrefix="1" applyNumberFormat="1" applyFont="1" applyBorder="1"/>
    <xf numFmtId="49" fontId="61" fillId="2" borderId="119" xfId="4" applyNumberFormat="1" applyFont="1" applyFill="1" applyBorder="1" applyAlignment="1">
      <alignment horizontal="right"/>
    </xf>
    <xf numFmtId="0" fontId="61" fillId="2" borderId="120" xfId="4" applyFont="1" applyFill="1" applyBorder="1" applyAlignment="1">
      <alignment horizontal="center"/>
    </xf>
    <xf numFmtId="0" fontId="61" fillId="2" borderId="119" xfId="4" applyFont="1" applyFill="1" applyBorder="1" applyAlignment="1">
      <alignment horizontal="center"/>
    </xf>
    <xf numFmtId="1" fontId="62" fillId="2" borderId="121" xfId="4" applyNumberFormat="1" applyFont="1" applyFill="1" applyBorder="1"/>
    <xf numFmtId="2" fontId="62" fillId="2" borderId="121" xfId="4" applyNumberFormat="1" applyFont="1" applyFill="1" applyBorder="1"/>
    <xf numFmtId="170" fontId="62" fillId="2" borderId="121" xfId="4" applyNumberFormat="1" applyFont="1" applyFill="1" applyBorder="1"/>
    <xf numFmtId="3" fontId="62" fillId="2" borderId="121" xfId="4" quotePrefix="1" applyNumberFormat="1" applyFont="1" applyFill="1" applyBorder="1"/>
    <xf numFmtId="3" fontId="62" fillId="2" borderId="121" xfId="4" applyNumberFormat="1" applyFont="1" applyFill="1" applyBorder="1"/>
    <xf numFmtId="169" fontId="62" fillId="2" borderId="121" xfId="4" applyNumberFormat="1" applyFont="1" applyFill="1" applyBorder="1"/>
    <xf numFmtId="0" fontId="62" fillId="2" borderId="121" xfId="4" applyFont="1" applyFill="1" applyBorder="1"/>
    <xf numFmtId="14" fontId="62" fillId="2" borderId="121" xfId="4" applyNumberFormat="1" applyFont="1" applyFill="1" applyBorder="1"/>
    <xf numFmtId="1" fontId="62" fillId="2" borderId="121" xfId="4" applyNumberFormat="1" applyFont="1" applyFill="1" applyBorder="1" applyAlignment="1">
      <alignment horizontal="right"/>
    </xf>
    <xf numFmtId="1" fontId="62" fillId="2" borderId="122" xfId="4" applyNumberFormat="1" applyFont="1" applyFill="1" applyBorder="1" applyAlignment="1">
      <alignment horizontal="right"/>
    </xf>
    <xf numFmtId="49" fontId="60" fillId="2" borderId="0" xfId="4" applyNumberFormat="1" applyFill="1"/>
    <xf numFmtId="4" fontId="60" fillId="2" borderId="0" xfId="4" applyNumberFormat="1" applyFill="1"/>
    <xf numFmtId="0" fontId="60" fillId="2" borderId="0" xfId="4" applyFill="1"/>
    <xf numFmtId="4" fontId="60" fillId="0" borderId="1" xfId="4" applyNumberFormat="1" applyBorder="1" applyAlignment="1">
      <alignment horizontal="center"/>
    </xf>
    <xf numFmtId="1" fontId="62" fillId="0" borderId="123" xfId="4" applyNumberFormat="1" applyFont="1" applyBorder="1"/>
    <xf numFmtId="2" fontId="62" fillId="0" borderId="123" xfId="4" applyNumberFormat="1" applyFont="1" applyBorder="1"/>
    <xf numFmtId="170" fontId="62" fillId="0" borderId="123" xfId="4" applyNumberFormat="1" applyFont="1" applyBorder="1"/>
    <xf numFmtId="3" fontId="62" fillId="0" borderId="123" xfId="4" quotePrefix="1" applyNumberFormat="1" applyFont="1" applyBorder="1"/>
    <xf numFmtId="3" fontId="62" fillId="0" borderId="123" xfId="4" applyNumberFormat="1" applyFont="1" applyBorder="1"/>
    <xf numFmtId="169" fontId="62" fillId="0" borderId="123" xfId="4" applyNumberFormat="1" applyFont="1" applyBorder="1"/>
    <xf numFmtId="0" fontId="62" fillId="0" borderId="123" xfId="4" applyFont="1" applyBorder="1"/>
    <xf numFmtId="14" fontId="62" fillId="0" borderId="123" xfId="4" applyNumberFormat="1" applyFont="1" applyBorder="1"/>
    <xf numFmtId="1" fontId="62" fillId="0" borderId="123" xfId="4" applyNumberFormat="1" applyFont="1" applyBorder="1" applyAlignment="1">
      <alignment horizontal="right"/>
    </xf>
    <xf numFmtId="1" fontId="62" fillId="0" borderId="124" xfId="4" applyNumberFormat="1" applyFont="1" applyBorder="1" applyAlignment="1">
      <alignment horizontal="right"/>
    </xf>
    <xf numFmtId="49" fontId="60" fillId="0" borderId="125" xfId="4" applyNumberFormat="1" applyBorder="1"/>
    <xf numFmtId="0" fontId="64" fillId="0" borderId="0" xfId="4" applyFont="1"/>
    <xf numFmtId="49" fontId="61" fillId="0" borderId="119" xfId="4" quotePrefix="1" applyNumberFormat="1" applyFont="1" applyBorder="1" applyAlignment="1">
      <alignment horizontal="right"/>
    </xf>
    <xf numFmtId="49" fontId="61" fillId="0" borderId="120" xfId="4" applyNumberFormat="1" applyFont="1" applyBorder="1" applyAlignment="1">
      <alignment horizontal="center"/>
    </xf>
    <xf numFmtId="4" fontId="62" fillId="0" borderId="121" xfId="4" applyNumberFormat="1" applyFont="1" applyBorder="1"/>
    <xf numFmtId="0" fontId="60" fillId="0" borderId="0" xfId="4" applyAlignment="1">
      <alignment horizontal="right"/>
    </xf>
    <xf numFmtId="3" fontId="61" fillId="0" borderId="0" xfId="4" applyNumberFormat="1" applyFont="1"/>
    <xf numFmtId="1" fontId="60" fillId="0" borderId="0" xfId="4" applyNumberFormat="1"/>
    <xf numFmtId="2" fontId="60" fillId="0" borderId="0" xfId="4" applyNumberFormat="1"/>
    <xf numFmtId="170" fontId="60" fillId="0" borderId="0" xfId="4" applyNumberFormat="1"/>
    <xf numFmtId="3" fontId="60" fillId="0" borderId="0" xfId="4" applyNumberFormat="1"/>
    <xf numFmtId="169" fontId="60" fillId="0" borderId="0" xfId="4" applyNumberFormat="1"/>
    <xf numFmtId="0" fontId="61" fillId="0" borderId="0" xfId="4" applyFont="1"/>
    <xf numFmtId="1" fontId="60" fillId="0" borderId="0" xfId="4" applyNumberFormat="1" applyAlignment="1">
      <alignment horizontal="right"/>
    </xf>
    <xf numFmtId="1" fontId="62" fillId="0" borderId="0" xfId="4" applyNumberFormat="1" applyFont="1" applyAlignment="1">
      <alignment horizontal="right"/>
    </xf>
    <xf numFmtId="1" fontId="65" fillId="0" borderId="0" xfId="4" applyNumberFormat="1" applyFont="1"/>
    <xf numFmtId="3" fontId="66" fillId="0" borderId="0" xfId="4" applyNumberFormat="1" applyFont="1"/>
    <xf numFmtId="4" fontId="66" fillId="0" borderId="0" xfId="4" applyNumberFormat="1" applyFont="1"/>
    <xf numFmtId="1" fontId="67" fillId="0" borderId="0" xfId="4" applyNumberFormat="1" applyFont="1" applyAlignment="1">
      <alignment wrapText="1"/>
    </xf>
    <xf numFmtId="0" fontId="66" fillId="0" borderId="0" xfId="4" applyFont="1"/>
    <xf numFmtId="1" fontId="67" fillId="0" borderId="0" xfId="4" applyNumberFormat="1" applyFont="1"/>
    <xf numFmtId="0" fontId="67" fillId="0" borderId="0" xfId="4" applyFont="1"/>
    <xf numFmtId="1" fontId="67" fillId="0" borderId="0" xfId="4" applyNumberFormat="1" applyFont="1" applyAlignment="1">
      <alignment horizontal="right"/>
    </xf>
    <xf numFmtId="2" fontId="67" fillId="0" borderId="0" xfId="4" applyNumberFormat="1" applyFont="1"/>
    <xf numFmtId="169" fontId="67" fillId="0" borderId="0" xfId="4" applyNumberFormat="1" applyFont="1"/>
    <xf numFmtId="49" fontId="67" fillId="0" borderId="0" xfId="4" applyNumberFormat="1" applyFont="1"/>
    <xf numFmtId="4" fontId="67" fillId="0" borderId="0" xfId="4" applyNumberFormat="1" applyFont="1"/>
    <xf numFmtId="170" fontId="67" fillId="0" borderId="0" xfId="4" applyNumberFormat="1" applyFont="1"/>
    <xf numFmtId="1" fontId="60" fillId="0" borderId="0" xfId="4" applyNumberFormat="1" applyAlignment="1">
      <alignment wrapText="1"/>
    </xf>
    <xf numFmtId="4" fontId="68" fillId="0" borderId="0" xfId="4" applyNumberFormat="1" applyFont="1"/>
    <xf numFmtId="4" fontId="61" fillId="0" borderId="0" xfId="4" applyNumberFormat="1" applyFont="1"/>
    <xf numFmtId="49" fontId="60" fillId="0" borderId="0" xfId="4" applyNumberFormat="1" applyAlignment="1">
      <alignment horizontal="right"/>
    </xf>
    <xf numFmtId="0" fontId="42" fillId="0" borderId="0" xfId="0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49" fontId="1" fillId="4" borderId="126" xfId="0" applyNumberFormat="1" applyFont="1" applyFill="1" applyBorder="1" applyAlignment="1">
      <alignment horizontal="right"/>
    </xf>
    <xf numFmtId="49" fontId="0" fillId="0" borderId="126" xfId="0" applyNumberFormat="1" applyBorder="1" applyAlignment="1">
      <alignment horizontal="right"/>
    </xf>
    <xf numFmtId="0" fontId="0" fillId="0" borderId="126" xfId="0" applyBorder="1"/>
    <xf numFmtId="0" fontId="0" fillId="0" borderId="126" xfId="0" applyBorder="1" applyAlignment="1">
      <alignment wrapText="1"/>
    </xf>
    <xf numFmtId="4" fontId="0" fillId="0" borderId="126" xfId="0" applyNumberFormat="1" applyBorder="1"/>
    <xf numFmtId="49" fontId="1" fillId="4" borderId="0" xfId="0" applyNumberFormat="1" applyFont="1" applyFill="1" applyAlignment="1">
      <alignment horizontal="right"/>
    </xf>
    <xf numFmtId="0" fontId="0" fillId="4" borderId="112" xfId="0" applyFill="1" applyBorder="1"/>
    <xf numFmtId="49" fontId="21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8" fontId="0" fillId="0" borderId="1" xfId="0" applyNumberFormat="1" applyBorder="1"/>
    <xf numFmtId="8" fontId="0" fillId="0" borderId="2" xfId="0" applyNumberFormat="1" applyBorder="1"/>
    <xf numFmtId="0" fontId="1" fillId="4" borderId="1" xfId="0" applyFont="1" applyFill="1" applyBorder="1"/>
    <xf numFmtId="4" fontId="0" fillId="0" borderId="1" xfId="0" applyNumberFormat="1" applyBorder="1" applyAlignment="1">
      <alignment horizontal="left" wrapText="1"/>
    </xf>
    <xf numFmtId="8" fontId="0" fillId="0" borderId="1" xfId="0" applyNumberFormat="1" applyBorder="1" applyAlignment="1">
      <alignment wrapText="1"/>
    </xf>
    <xf numFmtId="0" fontId="0" fillId="0" borderId="1" xfId="0" applyBorder="1" applyAlignment="1">
      <alignment horizontal="right" wrapText="1"/>
    </xf>
    <xf numFmtId="0" fontId="1" fillId="4" borderId="3" xfId="0" applyFont="1" applyFill="1" applyBorder="1"/>
    <xf numFmtId="0" fontId="1" fillId="4" borderId="1" xfId="0" applyFont="1" applyFill="1" applyBorder="1" applyAlignment="1">
      <alignment wrapText="1"/>
    </xf>
    <xf numFmtId="0" fontId="0" fillId="0" borderId="10" xfId="0" applyBorder="1"/>
    <xf numFmtId="4" fontId="0" fillId="0" borderId="1" xfId="0" applyNumberFormat="1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wrapText="1"/>
    </xf>
    <xf numFmtId="4" fontId="13" fillId="0" borderId="11" xfId="0" applyNumberFormat="1" applyFont="1" applyBorder="1" applyAlignment="1">
      <alignment horizontal="center"/>
    </xf>
    <xf numFmtId="4" fontId="0" fillId="0" borderId="126" xfId="0" applyNumberFormat="1" applyBorder="1" applyAlignment="1">
      <alignment wrapText="1"/>
    </xf>
    <xf numFmtId="4" fontId="0" fillId="0" borderId="127" xfId="0" applyNumberFormat="1" applyBorder="1"/>
    <xf numFmtId="0" fontId="0" fillId="0" borderId="127" xfId="0" applyBorder="1"/>
    <xf numFmtId="8" fontId="0" fillId="0" borderId="3" xfId="0" applyNumberFormat="1" applyBorder="1"/>
    <xf numFmtId="4" fontId="0" fillId="0" borderId="3" xfId="0" applyNumberFormat="1" applyBorder="1" applyAlignment="1">
      <alignment wrapText="1"/>
    </xf>
    <xf numFmtId="4" fontId="0" fillId="0" borderId="4" xfId="0" applyNumberFormat="1" applyBorder="1"/>
    <xf numFmtId="4" fontId="0" fillId="0" borderId="4" xfId="0" applyNumberFormat="1" applyBorder="1" applyAlignment="1">
      <alignment horizontal="right"/>
    </xf>
    <xf numFmtId="0" fontId="0" fillId="4" borderId="5" xfId="0" applyFill="1" applyBorder="1"/>
    <xf numFmtId="2" fontId="0" fillId="0" borderId="1" xfId="0" applyNumberFormat="1" applyBorder="1"/>
    <xf numFmtId="0" fontId="0" fillId="0" borderId="91" xfId="0" applyBorder="1"/>
    <xf numFmtId="0" fontId="0" fillId="0" borderId="12" xfId="0" applyBorder="1"/>
    <xf numFmtId="0" fontId="0" fillId="0" borderId="92" xfId="0" applyBorder="1" applyAlignment="1">
      <alignment wrapText="1"/>
    </xf>
    <xf numFmtId="0" fontId="0" fillId="0" borderId="99" xfId="0" applyBorder="1"/>
    <xf numFmtId="164" fontId="0" fillId="0" borderId="100" xfId="0" applyNumberFormat="1" applyBorder="1" applyAlignment="1">
      <alignment wrapText="1"/>
    </xf>
    <xf numFmtId="0" fontId="0" fillId="0" borderId="95" xfId="0" applyBorder="1" applyAlignment="1">
      <alignment horizontal="left"/>
    </xf>
    <xf numFmtId="164" fontId="0" fillId="0" borderId="95" xfId="0" applyNumberFormat="1" applyBorder="1"/>
    <xf numFmtId="164" fontId="0" fillId="0" borderId="96" xfId="0" applyNumberFormat="1" applyBorder="1" applyAlignment="1">
      <alignment wrapText="1"/>
    </xf>
    <xf numFmtId="49" fontId="0" fillId="0" borderId="0" xfId="0" applyNumberFormat="1" applyBorder="1" applyAlignment="1">
      <alignment horizontal="right"/>
    </xf>
    <xf numFmtId="0" fontId="0" fillId="0" borderId="11" xfId="0" applyBorder="1" applyAlignment="1">
      <alignment wrapText="1"/>
    </xf>
    <xf numFmtId="0" fontId="0" fillId="0" borderId="111" xfId="0" applyBorder="1" applyAlignment="1">
      <alignment wrapText="1"/>
    </xf>
    <xf numFmtId="4" fontId="0" fillId="0" borderId="111" xfId="0" applyNumberFormat="1" applyBorder="1"/>
    <xf numFmtId="8" fontId="0" fillId="0" borderId="111" xfId="0" applyNumberFormat="1" applyBorder="1"/>
    <xf numFmtId="4" fontId="0" fillId="0" borderId="111" xfId="0" applyNumberFormat="1" applyBorder="1" applyAlignment="1">
      <alignment wrapText="1"/>
    </xf>
    <xf numFmtId="0" fontId="72" fillId="0" borderId="0" xfId="0" applyFont="1"/>
    <xf numFmtId="0" fontId="5" fillId="0" borderId="0" xfId="0" applyFont="1" applyAlignment="1">
      <alignment horizontal="left"/>
    </xf>
    <xf numFmtId="165" fontId="0" fillId="0" borderId="1" xfId="1" applyFont="1" applyBorder="1" applyAlignment="1">
      <alignment wrapText="1"/>
    </xf>
    <xf numFmtId="0" fontId="0" fillId="0" borderId="0" xfId="0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5" fontId="0" fillId="0" borderId="1" xfId="1" applyFont="1" applyBorder="1"/>
    <xf numFmtId="165" fontId="4" fillId="0" borderId="0" xfId="0" applyNumberFormat="1" applyFont="1" applyAlignment="1">
      <alignment vertical="center"/>
    </xf>
    <xf numFmtId="0" fontId="0" fillId="0" borderId="1" xfId="0" applyBorder="1" applyAlignment="1">
      <alignment vertical="center"/>
    </xf>
    <xf numFmtId="0" fontId="10" fillId="0" borderId="0" xfId="0" applyFont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165" fontId="3" fillId="0" borderId="1" xfId="1" applyFont="1" applyBorder="1" applyAlignment="1">
      <alignment horizontal="center" vertical="center" wrapText="1"/>
    </xf>
    <xf numFmtId="165" fontId="3" fillId="0" borderId="1" xfId="1" applyFont="1" applyBorder="1" applyAlignment="1">
      <alignment vertical="center" wrapText="1"/>
    </xf>
    <xf numFmtId="165" fontId="15" fillId="0" borderId="0" xfId="1" applyFont="1" applyAlignment="1">
      <alignment horizontal="center" vertical="center" wrapText="1"/>
    </xf>
    <xf numFmtId="165" fontId="4" fillId="0" borderId="0" xfId="1" applyFont="1" applyAlignment="1">
      <alignment vertical="center"/>
    </xf>
    <xf numFmtId="165" fontId="4" fillId="0" borderId="0" xfId="0" applyNumberFormat="1" applyFont="1"/>
    <xf numFmtId="165" fontId="0" fillId="0" borderId="1" xfId="1" applyFont="1" applyBorder="1" applyAlignment="1">
      <alignment vertical="center"/>
    </xf>
    <xf numFmtId="165" fontId="3" fillId="0" borderId="1" xfId="1" applyFont="1" applyBorder="1" applyAlignment="1">
      <alignment wrapText="1"/>
    </xf>
    <xf numFmtId="165" fontId="15" fillId="0" borderId="0" xfId="1" applyFont="1" applyAlignment="1">
      <alignment horizontal="center" vertical="top"/>
    </xf>
    <xf numFmtId="165" fontId="15" fillId="0" borderId="0" xfId="0" applyNumberFormat="1" applyFont="1" applyAlignment="1">
      <alignment horizontal="center" vertical="top"/>
    </xf>
    <xf numFmtId="165" fontId="3" fillId="0" borderId="1" xfId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4" fillId="2" borderId="0" xfId="0" applyNumberFormat="1" applyFont="1" applyFill="1"/>
    <xf numFmtId="165" fontId="15" fillId="0" borderId="0" xfId="1" applyFont="1" applyAlignment="1">
      <alignment horizontal="center" wrapText="1"/>
    </xf>
    <xf numFmtId="165" fontId="15" fillId="0" borderId="0" xfId="1" applyFont="1" applyAlignment="1">
      <alignment horizontal="right" vertical="top"/>
    </xf>
    <xf numFmtId="165" fontId="15" fillId="0" borderId="0" xfId="1" applyFont="1"/>
    <xf numFmtId="4" fontId="5" fillId="0" borderId="1" xfId="0" applyNumberFormat="1" applyFont="1" applyBorder="1" applyAlignment="1">
      <alignment horizontal="center" wrapText="1"/>
    </xf>
    <xf numFmtId="165" fontId="5" fillId="0" borderId="1" xfId="1" applyFont="1" applyBorder="1" applyAlignment="1">
      <alignment horizontal="center" wrapText="1"/>
    </xf>
    <xf numFmtId="0" fontId="0" fillId="2" borderId="0" xfId="0" applyFill="1" applyAlignment="1">
      <alignment horizontal="right" vertical="center"/>
    </xf>
    <xf numFmtId="4" fontId="48" fillId="2" borderId="0" xfId="0" applyNumberFormat="1" applyFont="1" applyFill="1"/>
    <xf numFmtId="165" fontId="48" fillId="0" borderId="0" xfId="1" applyFont="1"/>
    <xf numFmtId="165" fontId="73" fillId="0" borderId="0" xfId="1" applyFont="1"/>
    <xf numFmtId="165" fontId="48" fillId="0" borderId="0" xfId="0" applyNumberFormat="1" applyFont="1"/>
    <xf numFmtId="4" fontId="50" fillId="0" borderId="0" xfId="0" applyNumberFormat="1" applyFont="1" applyAlignment="1">
      <alignment horizontal="center"/>
    </xf>
    <xf numFmtId="0" fontId="74" fillId="0" borderId="0" xfId="0" applyFont="1"/>
    <xf numFmtId="165" fontId="4" fillId="0" borderId="4" xfId="1" applyFont="1" applyBorder="1"/>
    <xf numFmtId="165" fontId="4" fillId="0" borderId="1" xfId="1" applyFont="1" applyBorder="1"/>
    <xf numFmtId="4" fontId="14" fillId="0" borderId="2" xfId="0" applyNumberFormat="1" applyFont="1" applyBorder="1" applyAlignment="1">
      <alignment horizontal="center"/>
    </xf>
    <xf numFmtId="165" fontId="14" fillId="0" borderId="1" xfId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14" fillId="0" borderId="0" xfId="0" applyFont="1"/>
    <xf numFmtId="49" fontId="0" fillId="12" borderId="0" xfId="0" applyNumberFormat="1" applyFill="1" applyAlignment="1">
      <alignment horizontal="right"/>
    </xf>
    <xf numFmtId="0" fontId="0" fillId="12" borderId="2" xfId="0" applyFill="1" applyBorder="1" applyAlignment="1">
      <alignment wrapText="1"/>
    </xf>
    <xf numFmtId="0" fontId="0" fillId="12" borderId="2" xfId="0" applyFill="1" applyBorder="1"/>
    <xf numFmtId="4" fontId="0" fillId="12" borderId="1" xfId="0" applyNumberFormat="1" applyFill="1" applyBorder="1"/>
    <xf numFmtId="4" fontId="0" fillId="12" borderId="2" xfId="0" applyNumberFormat="1" applyFill="1" applyBorder="1"/>
    <xf numFmtId="8" fontId="0" fillId="12" borderId="2" xfId="0" applyNumberFormat="1" applyFill="1" applyBorder="1"/>
    <xf numFmtId="0" fontId="0" fillId="12" borderId="76" xfId="0" applyFill="1" applyBorder="1" applyAlignment="1">
      <alignment wrapText="1"/>
    </xf>
    <xf numFmtId="0" fontId="0" fillId="12" borderId="0" xfId="0" applyFill="1"/>
    <xf numFmtId="49" fontId="0" fillId="12" borderId="1" xfId="0" applyNumberFormat="1" applyFill="1" applyBorder="1" applyAlignment="1">
      <alignment horizontal="right"/>
    </xf>
    <xf numFmtId="0" fontId="0" fillId="12" borderId="1" xfId="0" applyFill="1" applyBorder="1" applyAlignment="1">
      <alignment wrapText="1"/>
    </xf>
    <xf numFmtId="0" fontId="0" fillId="12" borderId="1" xfId="0" applyFill="1" applyBorder="1"/>
    <xf numFmtId="8" fontId="0" fillId="12" borderId="1" xfId="0" applyNumberFormat="1" applyFill="1" applyBorder="1"/>
    <xf numFmtId="8" fontId="0" fillId="12" borderId="3" xfId="0" applyNumberFormat="1" applyFill="1" applyBorder="1"/>
    <xf numFmtId="0" fontId="6" fillId="0" borderId="2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4" fontId="10" fillId="0" borderId="3" xfId="0" applyNumberFormat="1" applyFont="1" applyBorder="1" applyAlignment="1">
      <alignment horizontal="center" wrapText="1"/>
    </xf>
    <xf numFmtId="4" fontId="10" fillId="0" borderId="5" xfId="0" applyNumberFormat="1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3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4" fontId="0" fillId="0" borderId="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1" fillId="4" borderId="3" xfId="0" applyFont="1" applyFill="1" applyBorder="1" applyAlignment="1">
      <alignment wrapText="1"/>
    </xf>
    <xf numFmtId="0" fontId="1" fillId="4" borderId="112" xfId="0" applyFont="1" applyFill="1" applyBorder="1"/>
    <xf numFmtId="0" fontId="1" fillId="4" borderId="28" xfId="0" applyFont="1" applyFill="1" applyBorder="1" applyAlignment="1">
      <alignment wrapText="1"/>
    </xf>
    <xf numFmtId="0" fontId="1" fillId="4" borderId="110" xfId="0" applyFont="1" applyFill="1" applyBorder="1"/>
    <xf numFmtId="0" fontId="1" fillId="4" borderId="30" xfId="0" applyFont="1" applyFill="1" applyBorder="1"/>
    <xf numFmtId="0" fontId="70" fillId="4" borderId="129" xfId="5" applyFont="1" applyFill="1" applyBorder="1" applyAlignment="1">
      <alignment wrapText="1"/>
    </xf>
    <xf numFmtId="0" fontId="0" fillId="4" borderId="110" xfId="0" applyFill="1" applyBorder="1"/>
    <xf numFmtId="0" fontId="0" fillId="0" borderId="30" xfId="0" applyBorder="1"/>
    <xf numFmtId="0" fontId="1" fillId="4" borderId="11" xfId="0" applyFont="1" applyFill="1" applyBorder="1" applyAlignment="1">
      <alignment wrapText="1"/>
    </xf>
    <xf numFmtId="0" fontId="0" fillId="4" borderId="111" xfId="0" applyFill="1" applyBorder="1"/>
    <xf numFmtId="0" fontId="0" fillId="0" borderId="10" xfId="0" applyBorder="1"/>
    <xf numFmtId="0" fontId="0" fillId="4" borderId="112" xfId="0" applyFill="1" applyBorder="1"/>
    <xf numFmtId="0" fontId="0" fillId="0" borderId="5" xfId="0" applyBorder="1"/>
    <xf numFmtId="0" fontId="0" fillId="0" borderId="112" xfId="0" applyBorder="1"/>
    <xf numFmtId="0" fontId="0" fillId="4" borderId="112" xfId="0" applyFill="1" applyBorder="1" applyAlignment="1">
      <alignment wrapText="1"/>
    </xf>
    <xf numFmtId="0" fontId="13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70" fillId="4" borderId="127" xfId="5" applyFont="1" applyFill="1" applyBorder="1" applyAlignment="1">
      <alignment wrapText="1"/>
    </xf>
    <xf numFmtId="0" fontId="0" fillId="4" borderId="128" xfId="0" applyFill="1" applyBorder="1"/>
    <xf numFmtId="0" fontId="0" fillId="4" borderId="30" xfId="0" applyFill="1" applyBorder="1"/>
    <xf numFmtId="0" fontId="12" fillId="0" borderId="9" xfId="0" applyFont="1" applyBorder="1" applyAlignment="1">
      <alignment horizontal="center"/>
    </xf>
    <xf numFmtId="0" fontId="0" fillId="0" borderId="35" xfId="0" applyBorder="1"/>
    <xf numFmtId="0" fontId="3" fillId="0" borderId="2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24" fillId="0" borderId="35" xfId="0" applyFont="1" applyBorder="1" applyAlignment="1">
      <alignment vertical="center" wrapText="1"/>
    </xf>
    <xf numFmtId="0" fontId="24" fillId="0" borderId="37" xfId="0" applyFont="1" applyBorder="1" applyAlignment="1">
      <alignment vertical="center" wrapText="1"/>
    </xf>
    <xf numFmtId="0" fontId="24" fillId="0" borderId="38" xfId="0" applyFont="1" applyBorder="1" applyAlignment="1">
      <alignment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35" xfId="0" applyFont="1" applyBorder="1" applyAlignment="1">
      <alignment vertical="center" wrapText="1"/>
    </xf>
    <xf numFmtId="0" fontId="25" fillId="0" borderId="37" xfId="0" applyFont="1" applyBorder="1" applyAlignment="1">
      <alignment vertical="center" wrapText="1"/>
    </xf>
    <xf numFmtId="0" fontId="25" fillId="0" borderId="38" xfId="0" applyFont="1" applyBorder="1" applyAlignment="1">
      <alignment vertical="center" wrapText="1"/>
    </xf>
    <xf numFmtId="8" fontId="24" fillId="0" borderId="35" xfId="0" applyNumberFormat="1" applyFont="1" applyBorder="1" applyAlignment="1">
      <alignment horizontal="center" vertical="center" wrapText="1"/>
    </xf>
    <xf numFmtId="8" fontId="24" fillId="0" borderId="37" xfId="0" applyNumberFormat="1" applyFont="1" applyBorder="1" applyAlignment="1">
      <alignment horizontal="center" vertical="center" wrapText="1"/>
    </xf>
    <xf numFmtId="8" fontId="24" fillId="0" borderId="38" xfId="0" applyNumberFormat="1" applyFont="1" applyBorder="1" applyAlignment="1">
      <alignment horizontal="center" vertical="center" wrapText="1"/>
    </xf>
    <xf numFmtId="0" fontId="36" fillId="0" borderId="43" xfId="2" applyFont="1" applyBorder="1" applyAlignment="1">
      <alignment horizontal="center" vertical="top"/>
    </xf>
    <xf numFmtId="0" fontId="36" fillId="7" borderId="44" xfId="2" applyFont="1" applyFill="1" applyBorder="1" applyAlignment="1">
      <alignment horizontal="center" vertical="center" wrapText="1"/>
    </xf>
    <xf numFmtId="0" fontId="36" fillId="2" borderId="45" xfId="2" applyFont="1" applyFill="1" applyBorder="1" applyAlignment="1">
      <alignment horizontal="center" vertical="top"/>
    </xf>
    <xf numFmtId="0" fontId="36" fillId="2" borderId="47" xfId="2" applyFont="1" applyFill="1" applyBorder="1" applyAlignment="1">
      <alignment horizontal="center" vertical="top"/>
    </xf>
    <xf numFmtId="0" fontId="36" fillId="2" borderId="48" xfId="2" applyFont="1" applyFill="1" applyBorder="1" applyAlignment="1">
      <alignment horizontal="center" vertical="center"/>
    </xf>
    <xf numFmtId="0" fontId="36" fillId="2" borderId="49" xfId="2" applyFont="1" applyFill="1" applyBorder="1" applyAlignment="1">
      <alignment horizontal="center" vertical="center"/>
    </xf>
    <xf numFmtId="0" fontId="36" fillId="2" borderId="48" xfId="2" applyFont="1" applyFill="1" applyBorder="1" applyAlignment="1">
      <alignment horizontal="center" vertical="center" wrapText="1"/>
    </xf>
    <xf numFmtId="0" fontId="36" fillId="2" borderId="0" xfId="2" applyFont="1" applyFill="1" applyAlignment="1">
      <alignment horizontal="center" vertical="center"/>
    </xf>
    <xf numFmtId="0" fontId="36" fillId="2" borderId="44" xfId="2" applyFont="1" applyFill="1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6" fillId="0" borderId="69" xfId="0" applyFont="1" applyBorder="1" applyAlignment="1">
      <alignment horizontal="center" vertical="top"/>
    </xf>
    <xf numFmtId="0" fontId="13" fillId="0" borderId="71" xfId="0" applyFont="1" applyBorder="1" applyAlignment="1">
      <alignment horizontal="center" vertical="top"/>
    </xf>
    <xf numFmtId="0" fontId="36" fillId="0" borderId="72" xfId="0" applyFont="1" applyBorder="1" applyAlignment="1">
      <alignment horizontal="center" vertical="center"/>
    </xf>
    <xf numFmtId="0" fontId="36" fillId="0" borderId="73" xfId="0" applyFont="1" applyBorder="1" applyAlignment="1">
      <alignment horizontal="center" vertical="center"/>
    </xf>
    <xf numFmtId="0" fontId="36" fillId="0" borderId="67" xfId="0" applyFont="1" applyBorder="1" applyAlignment="1">
      <alignment horizontal="center" vertical="center"/>
    </xf>
    <xf numFmtId="0" fontId="36" fillId="0" borderId="68" xfId="0" applyFont="1" applyBorder="1" applyAlignment="1">
      <alignment horizontal="center" vertical="center"/>
    </xf>
    <xf numFmtId="0" fontId="36" fillId="0" borderId="74" xfId="0" applyFont="1" applyBorder="1" applyAlignment="1">
      <alignment horizontal="center" vertical="center"/>
    </xf>
    <xf numFmtId="0" fontId="36" fillId="0" borderId="72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73" xfId="0" applyFont="1" applyBorder="1" applyAlignment="1">
      <alignment horizontal="center" vertical="center" wrapText="1"/>
    </xf>
    <xf numFmtId="0" fontId="36" fillId="0" borderId="67" xfId="0" applyFont="1" applyBorder="1" applyAlignment="1">
      <alignment horizontal="center" vertical="top"/>
    </xf>
    <xf numFmtId="0" fontId="36" fillId="0" borderId="14" xfId="0" applyFont="1" applyBorder="1" applyAlignment="1">
      <alignment horizontal="center" vertical="top"/>
    </xf>
    <xf numFmtId="0" fontId="36" fillId="8" borderId="35" xfId="0" applyFont="1" applyFill="1" applyBorder="1" applyAlignment="1">
      <alignment horizontal="center" vertical="center" wrapText="1"/>
    </xf>
    <xf numFmtId="0" fontId="36" fillId="8" borderId="38" xfId="0" applyFont="1" applyFill="1" applyBorder="1" applyAlignment="1">
      <alignment horizontal="center" vertical="center" wrapText="1"/>
    </xf>
    <xf numFmtId="0" fontId="36" fillId="0" borderId="68" xfId="0" applyFont="1" applyBorder="1" applyAlignment="1">
      <alignment horizontal="center" vertical="top"/>
    </xf>
    <xf numFmtId="0" fontId="13" fillId="0" borderId="68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3" fillId="0" borderId="86" xfId="0" applyFont="1" applyBorder="1" applyAlignment="1">
      <alignment horizontal="center" vertical="top"/>
    </xf>
    <xf numFmtId="0" fontId="36" fillId="0" borderId="7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top"/>
    </xf>
    <xf numFmtId="0" fontId="36" fillId="0" borderId="7" xfId="0" applyFont="1" applyBorder="1" applyAlignment="1">
      <alignment horizontal="center" vertical="top"/>
    </xf>
    <xf numFmtId="0" fontId="13" fillId="0" borderId="70" xfId="0" applyFont="1" applyBorder="1" applyAlignment="1">
      <alignment horizontal="center" vertical="top"/>
    </xf>
    <xf numFmtId="0" fontId="36" fillId="0" borderId="75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76" xfId="0" applyFont="1" applyBorder="1" applyAlignment="1">
      <alignment horizontal="center" vertical="center"/>
    </xf>
    <xf numFmtId="4" fontId="45" fillId="0" borderId="2" xfId="0" applyNumberFormat="1" applyFont="1" applyBorder="1" applyAlignment="1">
      <alignment horizontal="center" vertical="center" wrapText="1"/>
    </xf>
    <xf numFmtId="4" fontId="45" fillId="0" borderId="4" xfId="0" applyNumberFormat="1" applyFont="1" applyBorder="1" applyAlignment="1">
      <alignment horizontal="center" vertical="center" wrapText="1"/>
    </xf>
    <xf numFmtId="0" fontId="36" fillId="0" borderId="101" xfId="0" applyFont="1" applyBorder="1" applyAlignment="1">
      <alignment horizontal="center" vertical="top"/>
    </xf>
    <xf numFmtId="0" fontId="13" fillId="0" borderId="102" xfId="0" applyFont="1" applyBorder="1" applyAlignment="1">
      <alignment horizontal="center" vertical="top"/>
    </xf>
    <xf numFmtId="3" fontId="0" fillId="2" borderId="2" xfId="0" applyNumberFormat="1" applyFill="1" applyBorder="1" applyAlignment="1">
      <alignment horizontal="center" vertical="center"/>
    </xf>
    <xf numFmtId="0" fontId="13" fillId="0" borderId="68" xfId="0" applyFont="1" applyBorder="1" applyAlignment="1">
      <alignment horizontal="center"/>
    </xf>
    <xf numFmtId="0" fontId="14" fillId="0" borderId="68" xfId="0" applyFont="1" applyBorder="1" applyAlignment="1">
      <alignment horizontal="center"/>
    </xf>
    <xf numFmtId="0" fontId="13" fillId="0" borderId="67" xfId="0" applyFont="1" applyBorder="1" applyAlignment="1">
      <alignment horizontal="center" wrapText="1"/>
    </xf>
    <xf numFmtId="0" fontId="14" fillId="0" borderId="74" xfId="0" applyFont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0" fontId="0" fillId="0" borderId="13" xfId="0" applyBorder="1"/>
    <xf numFmtId="0" fontId="0" fillId="0" borderId="4" xfId="0" applyBorder="1"/>
    <xf numFmtId="0" fontId="55" fillId="0" borderId="118" xfId="0" applyFont="1" applyBorder="1" applyAlignment="1">
      <alignment horizontal="center" vertical="center" wrapText="1"/>
    </xf>
    <xf numFmtId="0" fontId="55" fillId="0" borderId="115" xfId="0" applyFont="1" applyBorder="1" applyAlignment="1">
      <alignment horizontal="center" vertical="center" wrapText="1"/>
    </xf>
    <xf numFmtId="0" fontId="55" fillId="0" borderId="116" xfId="0" applyFont="1" applyBorder="1" applyAlignment="1">
      <alignment horizontal="center" vertical="center" wrapText="1"/>
    </xf>
    <xf numFmtId="0" fontId="55" fillId="0" borderId="118" xfId="0" applyFont="1" applyBorder="1" applyAlignment="1">
      <alignment horizontal="left" vertical="center" wrapText="1"/>
    </xf>
    <xf numFmtId="0" fontId="0" fillId="0" borderId="115" xfId="0" applyBorder="1" applyAlignment="1">
      <alignment vertical="center" wrapText="1"/>
    </xf>
    <xf numFmtId="0" fontId="0" fillId="0" borderId="116" xfId="0" applyBorder="1" applyAlignment="1">
      <alignment horizontal="left" vertical="center" wrapText="1"/>
    </xf>
    <xf numFmtId="0" fontId="0" fillId="0" borderId="115" xfId="0" applyBorder="1" applyAlignment="1">
      <alignment horizontal="left" vertical="center" wrapText="1"/>
    </xf>
    <xf numFmtId="4" fontId="13" fillId="0" borderId="108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4" fontId="60" fillId="0" borderId="2" xfId="4" applyNumberFormat="1" applyBorder="1" applyAlignment="1">
      <alignment horizontal="center" vertical="center"/>
    </xf>
    <xf numFmtId="0" fontId="60" fillId="0" borderId="4" xfId="4" applyBorder="1" applyAlignment="1">
      <alignment horizontal="center" vertical="center"/>
    </xf>
    <xf numFmtId="4" fontId="60" fillId="2" borderId="2" xfId="4" applyNumberFormat="1" applyFill="1" applyBorder="1" applyAlignment="1">
      <alignment horizontal="center" vertical="center"/>
    </xf>
    <xf numFmtId="0" fontId="60" fillId="0" borderId="13" xfId="4" applyBorder="1" applyAlignment="1">
      <alignment horizontal="center" vertical="center"/>
    </xf>
    <xf numFmtId="4" fontId="60" fillId="0" borderId="1" xfId="4" applyNumberFormat="1" applyBorder="1" applyAlignment="1">
      <alignment horizontal="center" vertical="center"/>
    </xf>
    <xf numFmtId="0" fontId="60" fillId="0" borderId="1" xfId="4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3" fillId="0" borderId="8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3" fillId="2" borderId="80" xfId="0" applyFont="1" applyFill="1" applyBorder="1" applyAlignment="1">
      <alignment horizontal="center" wrapText="1"/>
    </xf>
    <xf numFmtId="0" fontId="13" fillId="2" borderId="72" xfId="0" applyFont="1" applyFill="1" applyBorder="1" applyAlignment="1">
      <alignment horizontal="center" wrapText="1"/>
    </xf>
    <xf numFmtId="0" fontId="13" fillId="2" borderId="90" xfId="0" applyFont="1" applyFill="1" applyBorder="1" applyAlignment="1">
      <alignment horizontal="center" wrapText="1"/>
    </xf>
    <xf numFmtId="0" fontId="0" fillId="2" borderId="89" xfId="0" applyFill="1" applyBorder="1" applyAlignment="1">
      <alignment horizontal="center" wrapText="1"/>
    </xf>
    <xf numFmtId="0" fontId="13" fillId="2" borderId="80" xfId="0" applyFont="1" applyFill="1" applyBorder="1" applyAlignment="1">
      <alignment horizontal="center"/>
    </xf>
    <xf numFmtId="0" fontId="13" fillId="2" borderId="72" xfId="0" applyFont="1" applyFill="1" applyBorder="1" applyAlignment="1">
      <alignment horizontal="center"/>
    </xf>
    <xf numFmtId="4" fontId="13" fillId="2" borderId="90" xfId="0" applyNumberFormat="1" applyFont="1" applyFill="1" applyBorder="1" applyAlignment="1">
      <alignment horizontal="center"/>
    </xf>
    <xf numFmtId="4" fontId="0" fillId="2" borderId="89" xfId="0" applyNumberFormat="1" applyFill="1" applyBorder="1" applyAlignment="1">
      <alignment horizontal="center"/>
    </xf>
    <xf numFmtId="4" fontId="13" fillId="2" borderId="80" xfId="0" applyNumberFormat="1" applyFont="1" applyFill="1" applyBorder="1" applyAlignment="1">
      <alignment horizontal="center"/>
    </xf>
    <xf numFmtId="4" fontId="0" fillId="2" borderId="72" xfId="0" applyNumberFormat="1" applyFill="1" applyBorder="1" applyAlignment="1">
      <alignment horizontal="center"/>
    </xf>
    <xf numFmtId="4" fontId="13" fillId="2" borderId="72" xfId="0" applyNumberFormat="1" applyFont="1" applyFill="1" applyBorder="1" applyAlignment="1">
      <alignment horizontal="center"/>
    </xf>
    <xf numFmtId="4" fontId="13" fillId="2" borderId="89" xfId="0" applyNumberFormat="1" applyFont="1" applyFill="1" applyBorder="1" applyAlignment="1">
      <alignment horizontal="center"/>
    </xf>
  </cellXfs>
  <cellStyles count="6">
    <cellStyle name="Navadno" xfId="0" builtinId="0"/>
    <cellStyle name="Navadno 2" xfId="2" xr:uid="{DF9C9A11-BC64-4047-A5F1-3F768B1E77D4}"/>
    <cellStyle name="Navadno 3" xfId="4" xr:uid="{A8CF4F0C-465C-4B98-9F33-AA9C141BDFA4}"/>
    <cellStyle name="Normal 2" xfId="5" xr:uid="{D44CD14D-4DB5-45A6-9950-E230B793DF4C}"/>
    <cellStyle name="Vejica 2" xfId="1" xr:uid="{1717798C-4DEA-42BE-87E2-FE5A852200B4}"/>
    <cellStyle name="Vejica 3" xfId="3" xr:uid="{C9D628D3-6389-484B-BE51-F257BFBB60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320040</xdr:colOff>
      <xdr:row>3</xdr:row>
      <xdr:rowOff>449579</xdr:rowOff>
    </xdr:from>
    <xdr:to>
      <xdr:col>4</xdr:col>
      <xdr:colOff>1865966</xdr:colOff>
      <xdr:row>9</xdr:row>
      <xdr:rowOff>137816</xdr:rowOff>
    </xdr:to>
    <xdr:pic>
      <xdr:nvPicPr>
        <xdr:cNvPr id="2" name="Slika 1" descr="IMG_0238">
          <a:extLst>
            <a:ext uri="{FF2B5EF4-FFF2-40B4-BE49-F238E27FC236}">
              <a16:creationId xmlns:a16="http://schemas.microsoft.com/office/drawing/2014/main" id="{3337AD1C-8076-4FF6-BB95-AC9FF8DF3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9980" y="1577339"/>
          <a:ext cx="1545926" cy="2065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327660</xdr:colOff>
      <xdr:row>11</xdr:row>
      <xdr:rowOff>271272</xdr:rowOff>
    </xdr:from>
    <xdr:to>
      <xdr:col>4</xdr:col>
      <xdr:colOff>1844040</xdr:colOff>
      <xdr:row>17</xdr:row>
      <xdr:rowOff>102596</xdr:rowOff>
    </xdr:to>
    <xdr:pic>
      <xdr:nvPicPr>
        <xdr:cNvPr id="3" name="Slika 2" descr="IMG_0250">
          <a:extLst>
            <a:ext uri="{FF2B5EF4-FFF2-40B4-BE49-F238E27FC236}">
              <a16:creationId xmlns:a16="http://schemas.microsoft.com/office/drawing/2014/main" id="{61A41799-3986-422F-A63C-345AC710C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149852"/>
          <a:ext cx="1516380" cy="20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157480</xdr:colOff>
      <xdr:row>19</xdr:row>
      <xdr:rowOff>335280</xdr:rowOff>
    </xdr:from>
    <xdr:to>
      <xdr:col>4</xdr:col>
      <xdr:colOff>2179320</xdr:colOff>
      <xdr:row>24</xdr:row>
      <xdr:rowOff>22860</xdr:rowOff>
    </xdr:to>
    <xdr:pic>
      <xdr:nvPicPr>
        <xdr:cNvPr id="4" name="Slika 3" descr="IMG_0241">
          <a:extLst>
            <a:ext uri="{FF2B5EF4-FFF2-40B4-BE49-F238E27FC236}">
              <a16:creationId xmlns:a16="http://schemas.microsoft.com/office/drawing/2014/main" id="{C2651724-490F-4459-9CDF-869276462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7420" y="6781800"/>
          <a:ext cx="2021840" cy="151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6"/>
  <sheetViews>
    <sheetView topLeftCell="A25" zoomScale="85" zoomScaleNormal="85" workbookViewId="0">
      <selection activeCell="N17" sqref="N17"/>
    </sheetView>
  </sheetViews>
  <sheetFormatPr defaultRowHeight="14.4" x14ac:dyDescent="0.3"/>
  <cols>
    <col min="1" max="1" width="6.109375" customWidth="1"/>
    <col min="2" max="2" width="37.109375" customWidth="1"/>
    <col min="3" max="3" width="17.88671875" customWidth="1"/>
    <col min="4" max="4" width="15.6640625" customWidth="1"/>
    <col min="5" max="5" width="15.5546875" customWidth="1"/>
    <col min="6" max="6" width="14.5546875" customWidth="1"/>
    <col min="7" max="7" width="16.5546875" customWidth="1"/>
    <col min="8" max="8" width="15.88671875" customWidth="1"/>
    <col min="9" max="9" width="14.44140625" customWidth="1"/>
    <col min="10" max="10" width="13.5546875" customWidth="1"/>
    <col min="11" max="11" width="12.88671875" customWidth="1"/>
    <col min="12" max="13" width="13.5546875" customWidth="1"/>
    <col min="14" max="14" width="13.44140625" bestFit="1" customWidth="1"/>
    <col min="15" max="15" width="12.109375" customWidth="1"/>
    <col min="16" max="27" width="9.109375"/>
    <col min="28" max="28" width="9.5546875" bestFit="1" customWidth="1"/>
    <col min="29" max="257" width="9.109375"/>
    <col min="258" max="258" width="6.109375" customWidth="1"/>
    <col min="259" max="259" width="28.109375" customWidth="1"/>
    <col min="260" max="260" width="13.88671875" customWidth="1"/>
    <col min="261" max="261" width="14.5546875" customWidth="1"/>
    <col min="262" max="262" width="15.5546875" customWidth="1"/>
    <col min="263" max="263" width="14.5546875" customWidth="1"/>
    <col min="264" max="264" width="16.5546875" customWidth="1"/>
    <col min="265" max="265" width="14.5546875" customWidth="1"/>
    <col min="266" max="266" width="11.5546875" customWidth="1"/>
    <col min="267" max="267" width="12.88671875" customWidth="1"/>
    <col min="268" max="269" width="13.5546875" customWidth="1"/>
    <col min="270" max="270" width="13.44140625" bestFit="1" customWidth="1"/>
    <col min="271" max="513" width="9.109375"/>
    <col min="514" max="514" width="6.109375" customWidth="1"/>
    <col min="515" max="515" width="28.109375" customWidth="1"/>
    <col min="516" max="516" width="13.88671875" customWidth="1"/>
    <col min="517" max="517" width="14.5546875" customWidth="1"/>
    <col min="518" max="518" width="15.5546875" customWidth="1"/>
    <col min="519" max="519" width="14.5546875" customWidth="1"/>
    <col min="520" max="520" width="16.5546875" customWidth="1"/>
    <col min="521" max="521" width="14.5546875" customWidth="1"/>
    <col min="522" max="522" width="11.5546875" customWidth="1"/>
    <col min="523" max="523" width="12.88671875" customWidth="1"/>
    <col min="524" max="525" width="13.5546875" customWidth="1"/>
    <col min="526" max="526" width="13.44140625" bestFit="1" customWidth="1"/>
    <col min="527" max="769" width="9.109375"/>
    <col min="770" max="770" width="6.109375" customWidth="1"/>
    <col min="771" max="771" width="28.109375" customWidth="1"/>
    <col min="772" max="772" width="13.88671875" customWidth="1"/>
    <col min="773" max="773" width="14.5546875" customWidth="1"/>
    <col min="774" max="774" width="15.5546875" customWidth="1"/>
    <col min="775" max="775" width="14.5546875" customWidth="1"/>
    <col min="776" max="776" width="16.5546875" customWidth="1"/>
    <col min="777" max="777" width="14.5546875" customWidth="1"/>
    <col min="778" max="778" width="11.5546875" customWidth="1"/>
    <col min="779" max="779" width="12.88671875" customWidth="1"/>
    <col min="780" max="781" width="13.5546875" customWidth="1"/>
    <col min="782" max="782" width="13.44140625" bestFit="1" customWidth="1"/>
    <col min="783" max="1025" width="9.109375"/>
    <col min="1026" max="1026" width="6.109375" customWidth="1"/>
    <col min="1027" max="1027" width="28.109375" customWidth="1"/>
    <col min="1028" max="1028" width="13.88671875" customWidth="1"/>
    <col min="1029" max="1029" width="14.5546875" customWidth="1"/>
    <col min="1030" max="1030" width="15.5546875" customWidth="1"/>
    <col min="1031" max="1031" width="14.5546875" customWidth="1"/>
    <col min="1032" max="1032" width="16.5546875" customWidth="1"/>
    <col min="1033" max="1033" width="14.5546875" customWidth="1"/>
    <col min="1034" max="1034" width="11.5546875" customWidth="1"/>
    <col min="1035" max="1035" width="12.88671875" customWidth="1"/>
    <col min="1036" max="1037" width="13.5546875" customWidth="1"/>
    <col min="1038" max="1038" width="13.44140625" bestFit="1" customWidth="1"/>
    <col min="1039" max="1281" width="9.109375"/>
    <col min="1282" max="1282" width="6.109375" customWidth="1"/>
    <col min="1283" max="1283" width="28.109375" customWidth="1"/>
    <col min="1284" max="1284" width="13.88671875" customWidth="1"/>
    <col min="1285" max="1285" width="14.5546875" customWidth="1"/>
    <col min="1286" max="1286" width="15.5546875" customWidth="1"/>
    <col min="1287" max="1287" width="14.5546875" customWidth="1"/>
    <col min="1288" max="1288" width="16.5546875" customWidth="1"/>
    <col min="1289" max="1289" width="14.5546875" customWidth="1"/>
    <col min="1290" max="1290" width="11.5546875" customWidth="1"/>
    <col min="1291" max="1291" width="12.88671875" customWidth="1"/>
    <col min="1292" max="1293" width="13.5546875" customWidth="1"/>
    <col min="1294" max="1294" width="13.44140625" bestFit="1" customWidth="1"/>
    <col min="1295" max="1537" width="9.109375"/>
    <col min="1538" max="1538" width="6.109375" customWidth="1"/>
    <col min="1539" max="1539" width="28.109375" customWidth="1"/>
    <col min="1540" max="1540" width="13.88671875" customWidth="1"/>
    <col min="1541" max="1541" width="14.5546875" customWidth="1"/>
    <col min="1542" max="1542" width="15.5546875" customWidth="1"/>
    <col min="1543" max="1543" width="14.5546875" customWidth="1"/>
    <col min="1544" max="1544" width="16.5546875" customWidth="1"/>
    <col min="1545" max="1545" width="14.5546875" customWidth="1"/>
    <col min="1546" max="1546" width="11.5546875" customWidth="1"/>
    <col min="1547" max="1547" width="12.88671875" customWidth="1"/>
    <col min="1548" max="1549" width="13.5546875" customWidth="1"/>
    <col min="1550" max="1550" width="13.44140625" bestFit="1" customWidth="1"/>
    <col min="1551" max="1793" width="9.109375"/>
    <col min="1794" max="1794" width="6.109375" customWidth="1"/>
    <col min="1795" max="1795" width="28.109375" customWidth="1"/>
    <col min="1796" max="1796" width="13.88671875" customWidth="1"/>
    <col min="1797" max="1797" width="14.5546875" customWidth="1"/>
    <col min="1798" max="1798" width="15.5546875" customWidth="1"/>
    <col min="1799" max="1799" width="14.5546875" customWidth="1"/>
    <col min="1800" max="1800" width="16.5546875" customWidth="1"/>
    <col min="1801" max="1801" width="14.5546875" customWidth="1"/>
    <col min="1802" max="1802" width="11.5546875" customWidth="1"/>
    <col min="1803" max="1803" width="12.88671875" customWidth="1"/>
    <col min="1804" max="1805" width="13.5546875" customWidth="1"/>
    <col min="1806" max="1806" width="13.44140625" bestFit="1" customWidth="1"/>
    <col min="1807" max="2049" width="9.109375"/>
    <col min="2050" max="2050" width="6.109375" customWidth="1"/>
    <col min="2051" max="2051" width="28.109375" customWidth="1"/>
    <col min="2052" max="2052" width="13.88671875" customWidth="1"/>
    <col min="2053" max="2053" width="14.5546875" customWidth="1"/>
    <col min="2054" max="2054" width="15.5546875" customWidth="1"/>
    <col min="2055" max="2055" width="14.5546875" customWidth="1"/>
    <col min="2056" max="2056" width="16.5546875" customWidth="1"/>
    <col min="2057" max="2057" width="14.5546875" customWidth="1"/>
    <col min="2058" max="2058" width="11.5546875" customWidth="1"/>
    <col min="2059" max="2059" width="12.88671875" customWidth="1"/>
    <col min="2060" max="2061" width="13.5546875" customWidth="1"/>
    <col min="2062" max="2062" width="13.44140625" bestFit="1" customWidth="1"/>
    <col min="2063" max="2305" width="9.109375"/>
    <col min="2306" max="2306" width="6.109375" customWidth="1"/>
    <col min="2307" max="2307" width="28.109375" customWidth="1"/>
    <col min="2308" max="2308" width="13.88671875" customWidth="1"/>
    <col min="2309" max="2309" width="14.5546875" customWidth="1"/>
    <col min="2310" max="2310" width="15.5546875" customWidth="1"/>
    <col min="2311" max="2311" width="14.5546875" customWidth="1"/>
    <col min="2312" max="2312" width="16.5546875" customWidth="1"/>
    <col min="2313" max="2313" width="14.5546875" customWidth="1"/>
    <col min="2314" max="2314" width="11.5546875" customWidth="1"/>
    <col min="2315" max="2315" width="12.88671875" customWidth="1"/>
    <col min="2316" max="2317" width="13.5546875" customWidth="1"/>
    <col min="2318" max="2318" width="13.44140625" bestFit="1" customWidth="1"/>
    <col min="2319" max="2561" width="9.109375"/>
    <col min="2562" max="2562" width="6.109375" customWidth="1"/>
    <col min="2563" max="2563" width="28.109375" customWidth="1"/>
    <col min="2564" max="2564" width="13.88671875" customWidth="1"/>
    <col min="2565" max="2565" width="14.5546875" customWidth="1"/>
    <col min="2566" max="2566" width="15.5546875" customWidth="1"/>
    <col min="2567" max="2567" width="14.5546875" customWidth="1"/>
    <col min="2568" max="2568" width="16.5546875" customWidth="1"/>
    <col min="2569" max="2569" width="14.5546875" customWidth="1"/>
    <col min="2570" max="2570" width="11.5546875" customWidth="1"/>
    <col min="2571" max="2571" width="12.88671875" customWidth="1"/>
    <col min="2572" max="2573" width="13.5546875" customWidth="1"/>
    <col min="2574" max="2574" width="13.44140625" bestFit="1" customWidth="1"/>
    <col min="2575" max="2817" width="9.109375"/>
    <col min="2818" max="2818" width="6.109375" customWidth="1"/>
    <col min="2819" max="2819" width="28.109375" customWidth="1"/>
    <col min="2820" max="2820" width="13.88671875" customWidth="1"/>
    <col min="2821" max="2821" width="14.5546875" customWidth="1"/>
    <col min="2822" max="2822" width="15.5546875" customWidth="1"/>
    <col min="2823" max="2823" width="14.5546875" customWidth="1"/>
    <col min="2824" max="2824" width="16.5546875" customWidth="1"/>
    <col min="2825" max="2825" width="14.5546875" customWidth="1"/>
    <col min="2826" max="2826" width="11.5546875" customWidth="1"/>
    <col min="2827" max="2827" width="12.88671875" customWidth="1"/>
    <col min="2828" max="2829" width="13.5546875" customWidth="1"/>
    <col min="2830" max="2830" width="13.44140625" bestFit="1" customWidth="1"/>
    <col min="2831" max="3073" width="9.109375"/>
    <col min="3074" max="3074" width="6.109375" customWidth="1"/>
    <col min="3075" max="3075" width="28.109375" customWidth="1"/>
    <col min="3076" max="3076" width="13.88671875" customWidth="1"/>
    <col min="3077" max="3077" width="14.5546875" customWidth="1"/>
    <col min="3078" max="3078" width="15.5546875" customWidth="1"/>
    <col min="3079" max="3079" width="14.5546875" customWidth="1"/>
    <col min="3080" max="3080" width="16.5546875" customWidth="1"/>
    <col min="3081" max="3081" width="14.5546875" customWidth="1"/>
    <col min="3082" max="3082" width="11.5546875" customWidth="1"/>
    <col min="3083" max="3083" width="12.88671875" customWidth="1"/>
    <col min="3084" max="3085" width="13.5546875" customWidth="1"/>
    <col min="3086" max="3086" width="13.44140625" bestFit="1" customWidth="1"/>
    <col min="3087" max="3329" width="9.109375"/>
    <col min="3330" max="3330" width="6.109375" customWidth="1"/>
    <col min="3331" max="3331" width="28.109375" customWidth="1"/>
    <col min="3332" max="3332" width="13.88671875" customWidth="1"/>
    <col min="3333" max="3333" width="14.5546875" customWidth="1"/>
    <col min="3334" max="3334" width="15.5546875" customWidth="1"/>
    <col min="3335" max="3335" width="14.5546875" customWidth="1"/>
    <col min="3336" max="3336" width="16.5546875" customWidth="1"/>
    <col min="3337" max="3337" width="14.5546875" customWidth="1"/>
    <col min="3338" max="3338" width="11.5546875" customWidth="1"/>
    <col min="3339" max="3339" width="12.88671875" customWidth="1"/>
    <col min="3340" max="3341" width="13.5546875" customWidth="1"/>
    <col min="3342" max="3342" width="13.44140625" bestFit="1" customWidth="1"/>
    <col min="3343" max="3585" width="9.109375"/>
    <col min="3586" max="3586" width="6.109375" customWidth="1"/>
    <col min="3587" max="3587" width="28.109375" customWidth="1"/>
    <col min="3588" max="3588" width="13.88671875" customWidth="1"/>
    <col min="3589" max="3589" width="14.5546875" customWidth="1"/>
    <col min="3590" max="3590" width="15.5546875" customWidth="1"/>
    <col min="3591" max="3591" width="14.5546875" customWidth="1"/>
    <col min="3592" max="3592" width="16.5546875" customWidth="1"/>
    <col min="3593" max="3593" width="14.5546875" customWidth="1"/>
    <col min="3594" max="3594" width="11.5546875" customWidth="1"/>
    <col min="3595" max="3595" width="12.88671875" customWidth="1"/>
    <col min="3596" max="3597" width="13.5546875" customWidth="1"/>
    <col min="3598" max="3598" width="13.44140625" bestFit="1" customWidth="1"/>
    <col min="3599" max="3841" width="9.109375"/>
    <col min="3842" max="3842" width="6.109375" customWidth="1"/>
    <col min="3843" max="3843" width="28.109375" customWidth="1"/>
    <col min="3844" max="3844" width="13.88671875" customWidth="1"/>
    <col min="3845" max="3845" width="14.5546875" customWidth="1"/>
    <col min="3846" max="3846" width="15.5546875" customWidth="1"/>
    <col min="3847" max="3847" width="14.5546875" customWidth="1"/>
    <col min="3848" max="3848" width="16.5546875" customWidth="1"/>
    <col min="3849" max="3849" width="14.5546875" customWidth="1"/>
    <col min="3850" max="3850" width="11.5546875" customWidth="1"/>
    <col min="3851" max="3851" width="12.88671875" customWidth="1"/>
    <col min="3852" max="3853" width="13.5546875" customWidth="1"/>
    <col min="3854" max="3854" width="13.44140625" bestFit="1" customWidth="1"/>
    <col min="3855" max="4097" width="9.109375"/>
    <col min="4098" max="4098" width="6.109375" customWidth="1"/>
    <col min="4099" max="4099" width="28.109375" customWidth="1"/>
    <col min="4100" max="4100" width="13.88671875" customWidth="1"/>
    <col min="4101" max="4101" width="14.5546875" customWidth="1"/>
    <col min="4102" max="4102" width="15.5546875" customWidth="1"/>
    <col min="4103" max="4103" width="14.5546875" customWidth="1"/>
    <col min="4104" max="4104" width="16.5546875" customWidth="1"/>
    <col min="4105" max="4105" width="14.5546875" customWidth="1"/>
    <col min="4106" max="4106" width="11.5546875" customWidth="1"/>
    <col min="4107" max="4107" width="12.88671875" customWidth="1"/>
    <col min="4108" max="4109" width="13.5546875" customWidth="1"/>
    <col min="4110" max="4110" width="13.44140625" bestFit="1" customWidth="1"/>
    <col min="4111" max="4353" width="9.109375"/>
    <col min="4354" max="4354" width="6.109375" customWidth="1"/>
    <col min="4355" max="4355" width="28.109375" customWidth="1"/>
    <col min="4356" max="4356" width="13.88671875" customWidth="1"/>
    <col min="4357" max="4357" width="14.5546875" customWidth="1"/>
    <col min="4358" max="4358" width="15.5546875" customWidth="1"/>
    <col min="4359" max="4359" width="14.5546875" customWidth="1"/>
    <col min="4360" max="4360" width="16.5546875" customWidth="1"/>
    <col min="4361" max="4361" width="14.5546875" customWidth="1"/>
    <col min="4362" max="4362" width="11.5546875" customWidth="1"/>
    <col min="4363" max="4363" width="12.88671875" customWidth="1"/>
    <col min="4364" max="4365" width="13.5546875" customWidth="1"/>
    <col min="4366" max="4366" width="13.44140625" bestFit="1" customWidth="1"/>
    <col min="4367" max="4609" width="9.109375"/>
    <col min="4610" max="4610" width="6.109375" customWidth="1"/>
    <col min="4611" max="4611" width="28.109375" customWidth="1"/>
    <col min="4612" max="4612" width="13.88671875" customWidth="1"/>
    <col min="4613" max="4613" width="14.5546875" customWidth="1"/>
    <col min="4614" max="4614" width="15.5546875" customWidth="1"/>
    <col min="4615" max="4615" width="14.5546875" customWidth="1"/>
    <col min="4616" max="4616" width="16.5546875" customWidth="1"/>
    <col min="4617" max="4617" width="14.5546875" customWidth="1"/>
    <col min="4618" max="4618" width="11.5546875" customWidth="1"/>
    <col min="4619" max="4619" width="12.88671875" customWidth="1"/>
    <col min="4620" max="4621" width="13.5546875" customWidth="1"/>
    <col min="4622" max="4622" width="13.44140625" bestFit="1" customWidth="1"/>
    <col min="4623" max="4865" width="9.109375"/>
    <col min="4866" max="4866" width="6.109375" customWidth="1"/>
    <col min="4867" max="4867" width="28.109375" customWidth="1"/>
    <col min="4868" max="4868" width="13.88671875" customWidth="1"/>
    <col min="4869" max="4869" width="14.5546875" customWidth="1"/>
    <col min="4870" max="4870" width="15.5546875" customWidth="1"/>
    <col min="4871" max="4871" width="14.5546875" customWidth="1"/>
    <col min="4872" max="4872" width="16.5546875" customWidth="1"/>
    <col min="4873" max="4873" width="14.5546875" customWidth="1"/>
    <col min="4874" max="4874" width="11.5546875" customWidth="1"/>
    <col min="4875" max="4875" width="12.88671875" customWidth="1"/>
    <col min="4876" max="4877" width="13.5546875" customWidth="1"/>
    <col min="4878" max="4878" width="13.44140625" bestFit="1" customWidth="1"/>
    <col min="4879" max="5121" width="9.109375"/>
    <col min="5122" max="5122" width="6.109375" customWidth="1"/>
    <col min="5123" max="5123" width="28.109375" customWidth="1"/>
    <col min="5124" max="5124" width="13.88671875" customWidth="1"/>
    <col min="5125" max="5125" width="14.5546875" customWidth="1"/>
    <col min="5126" max="5126" width="15.5546875" customWidth="1"/>
    <col min="5127" max="5127" width="14.5546875" customWidth="1"/>
    <col min="5128" max="5128" width="16.5546875" customWidth="1"/>
    <col min="5129" max="5129" width="14.5546875" customWidth="1"/>
    <col min="5130" max="5130" width="11.5546875" customWidth="1"/>
    <col min="5131" max="5131" width="12.88671875" customWidth="1"/>
    <col min="5132" max="5133" width="13.5546875" customWidth="1"/>
    <col min="5134" max="5134" width="13.44140625" bestFit="1" customWidth="1"/>
    <col min="5135" max="5377" width="9.109375"/>
    <col min="5378" max="5378" width="6.109375" customWidth="1"/>
    <col min="5379" max="5379" width="28.109375" customWidth="1"/>
    <col min="5380" max="5380" width="13.88671875" customWidth="1"/>
    <col min="5381" max="5381" width="14.5546875" customWidth="1"/>
    <col min="5382" max="5382" width="15.5546875" customWidth="1"/>
    <col min="5383" max="5383" width="14.5546875" customWidth="1"/>
    <col min="5384" max="5384" width="16.5546875" customWidth="1"/>
    <col min="5385" max="5385" width="14.5546875" customWidth="1"/>
    <col min="5386" max="5386" width="11.5546875" customWidth="1"/>
    <col min="5387" max="5387" width="12.88671875" customWidth="1"/>
    <col min="5388" max="5389" width="13.5546875" customWidth="1"/>
    <col min="5390" max="5390" width="13.44140625" bestFit="1" customWidth="1"/>
    <col min="5391" max="5633" width="9.109375"/>
    <col min="5634" max="5634" width="6.109375" customWidth="1"/>
    <col min="5635" max="5635" width="28.109375" customWidth="1"/>
    <col min="5636" max="5636" width="13.88671875" customWidth="1"/>
    <col min="5637" max="5637" width="14.5546875" customWidth="1"/>
    <col min="5638" max="5638" width="15.5546875" customWidth="1"/>
    <col min="5639" max="5639" width="14.5546875" customWidth="1"/>
    <col min="5640" max="5640" width="16.5546875" customWidth="1"/>
    <col min="5641" max="5641" width="14.5546875" customWidth="1"/>
    <col min="5642" max="5642" width="11.5546875" customWidth="1"/>
    <col min="5643" max="5643" width="12.88671875" customWidth="1"/>
    <col min="5644" max="5645" width="13.5546875" customWidth="1"/>
    <col min="5646" max="5646" width="13.44140625" bestFit="1" customWidth="1"/>
    <col min="5647" max="5889" width="9.109375"/>
    <col min="5890" max="5890" width="6.109375" customWidth="1"/>
    <col min="5891" max="5891" width="28.109375" customWidth="1"/>
    <col min="5892" max="5892" width="13.88671875" customWidth="1"/>
    <col min="5893" max="5893" width="14.5546875" customWidth="1"/>
    <col min="5894" max="5894" width="15.5546875" customWidth="1"/>
    <col min="5895" max="5895" width="14.5546875" customWidth="1"/>
    <col min="5896" max="5896" width="16.5546875" customWidth="1"/>
    <col min="5897" max="5897" width="14.5546875" customWidth="1"/>
    <col min="5898" max="5898" width="11.5546875" customWidth="1"/>
    <col min="5899" max="5899" width="12.88671875" customWidth="1"/>
    <col min="5900" max="5901" width="13.5546875" customWidth="1"/>
    <col min="5902" max="5902" width="13.44140625" bestFit="1" customWidth="1"/>
    <col min="5903" max="6145" width="9.109375"/>
    <col min="6146" max="6146" width="6.109375" customWidth="1"/>
    <col min="6147" max="6147" width="28.109375" customWidth="1"/>
    <col min="6148" max="6148" width="13.88671875" customWidth="1"/>
    <col min="6149" max="6149" width="14.5546875" customWidth="1"/>
    <col min="6150" max="6150" width="15.5546875" customWidth="1"/>
    <col min="6151" max="6151" width="14.5546875" customWidth="1"/>
    <col min="6152" max="6152" width="16.5546875" customWidth="1"/>
    <col min="6153" max="6153" width="14.5546875" customWidth="1"/>
    <col min="6154" max="6154" width="11.5546875" customWidth="1"/>
    <col min="6155" max="6155" width="12.88671875" customWidth="1"/>
    <col min="6156" max="6157" width="13.5546875" customWidth="1"/>
    <col min="6158" max="6158" width="13.44140625" bestFit="1" customWidth="1"/>
    <col min="6159" max="6401" width="9.109375"/>
    <col min="6402" max="6402" width="6.109375" customWidth="1"/>
    <col min="6403" max="6403" width="28.109375" customWidth="1"/>
    <col min="6404" max="6404" width="13.88671875" customWidth="1"/>
    <col min="6405" max="6405" width="14.5546875" customWidth="1"/>
    <col min="6406" max="6406" width="15.5546875" customWidth="1"/>
    <col min="6407" max="6407" width="14.5546875" customWidth="1"/>
    <col min="6408" max="6408" width="16.5546875" customWidth="1"/>
    <col min="6409" max="6409" width="14.5546875" customWidth="1"/>
    <col min="6410" max="6410" width="11.5546875" customWidth="1"/>
    <col min="6411" max="6411" width="12.88671875" customWidth="1"/>
    <col min="6412" max="6413" width="13.5546875" customWidth="1"/>
    <col min="6414" max="6414" width="13.44140625" bestFit="1" customWidth="1"/>
    <col min="6415" max="6657" width="9.109375"/>
    <col min="6658" max="6658" width="6.109375" customWidth="1"/>
    <col min="6659" max="6659" width="28.109375" customWidth="1"/>
    <col min="6660" max="6660" width="13.88671875" customWidth="1"/>
    <col min="6661" max="6661" width="14.5546875" customWidth="1"/>
    <col min="6662" max="6662" width="15.5546875" customWidth="1"/>
    <col min="6663" max="6663" width="14.5546875" customWidth="1"/>
    <col min="6664" max="6664" width="16.5546875" customWidth="1"/>
    <col min="6665" max="6665" width="14.5546875" customWidth="1"/>
    <col min="6666" max="6666" width="11.5546875" customWidth="1"/>
    <col min="6667" max="6667" width="12.88671875" customWidth="1"/>
    <col min="6668" max="6669" width="13.5546875" customWidth="1"/>
    <col min="6670" max="6670" width="13.44140625" bestFit="1" customWidth="1"/>
    <col min="6671" max="6913" width="9.109375"/>
    <col min="6914" max="6914" width="6.109375" customWidth="1"/>
    <col min="6915" max="6915" width="28.109375" customWidth="1"/>
    <col min="6916" max="6916" width="13.88671875" customWidth="1"/>
    <col min="6917" max="6917" width="14.5546875" customWidth="1"/>
    <col min="6918" max="6918" width="15.5546875" customWidth="1"/>
    <col min="6919" max="6919" width="14.5546875" customWidth="1"/>
    <col min="6920" max="6920" width="16.5546875" customWidth="1"/>
    <col min="6921" max="6921" width="14.5546875" customWidth="1"/>
    <col min="6922" max="6922" width="11.5546875" customWidth="1"/>
    <col min="6923" max="6923" width="12.88671875" customWidth="1"/>
    <col min="6924" max="6925" width="13.5546875" customWidth="1"/>
    <col min="6926" max="6926" width="13.44140625" bestFit="1" customWidth="1"/>
    <col min="6927" max="7169" width="9.109375"/>
    <col min="7170" max="7170" width="6.109375" customWidth="1"/>
    <col min="7171" max="7171" width="28.109375" customWidth="1"/>
    <col min="7172" max="7172" width="13.88671875" customWidth="1"/>
    <col min="7173" max="7173" width="14.5546875" customWidth="1"/>
    <col min="7174" max="7174" width="15.5546875" customWidth="1"/>
    <col min="7175" max="7175" width="14.5546875" customWidth="1"/>
    <col min="7176" max="7176" width="16.5546875" customWidth="1"/>
    <col min="7177" max="7177" width="14.5546875" customWidth="1"/>
    <col min="7178" max="7178" width="11.5546875" customWidth="1"/>
    <col min="7179" max="7179" width="12.88671875" customWidth="1"/>
    <col min="7180" max="7181" width="13.5546875" customWidth="1"/>
    <col min="7182" max="7182" width="13.44140625" bestFit="1" customWidth="1"/>
    <col min="7183" max="7425" width="9.109375"/>
    <col min="7426" max="7426" width="6.109375" customWidth="1"/>
    <col min="7427" max="7427" width="28.109375" customWidth="1"/>
    <col min="7428" max="7428" width="13.88671875" customWidth="1"/>
    <col min="7429" max="7429" width="14.5546875" customWidth="1"/>
    <col min="7430" max="7430" width="15.5546875" customWidth="1"/>
    <col min="7431" max="7431" width="14.5546875" customWidth="1"/>
    <col min="7432" max="7432" width="16.5546875" customWidth="1"/>
    <col min="7433" max="7433" width="14.5546875" customWidth="1"/>
    <col min="7434" max="7434" width="11.5546875" customWidth="1"/>
    <col min="7435" max="7435" width="12.88671875" customWidth="1"/>
    <col min="7436" max="7437" width="13.5546875" customWidth="1"/>
    <col min="7438" max="7438" width="13.44140625" bestFit="1" customWidth="1"/>
    <col min="7439" max="7681" width="9.109375"/>
    <col min="7682" max="7682" width="6.109375" customWidth="1"/>
    <col min="7683" max="7683" width="28.109375" customWidth="1"/>
    <col min="7684" max="7684" width="13.88671875" customWidth="1"/>
    <col min="7685" max="7685" width="14.5546875" customWidth="1"/>
    <col min="7686" max="7686" width="15.5546875" customWidth="1"/>
    <col min="7687" max="7687" width="14.5546875" customWidth="1"/>
    <col min="7688" max="7688" width="16.5546875" customWidth="1"/>
    <col min="7689" max="7689" width="14.5546875" customWidth="1"/>
    <col min="7690" max="7690" width="11.5546875" customWidth="1"/>
    <col min="7691" max="7691" width="12.88671875" customWidth="1"/>
    <col min="7692" max="7693" width="13.5546875" customWidth="1"/>
    <col min="7694" max="7694" width="13.44140625" bestFit="1" customWidth="1"/>
    <col min="7695" max="7937" width="9.109375"/>
    <col min="7938" max="7938" width="6.109375" customWidth="1"/>
    <col min="7939" max="7939" width="28.109375" customWidth="1"/>
    <col min="7940" max="7940" width="13.88671875" customWidth="1"/>
    <col min="7941" max="7941" width="14.5546875" customWidth="1"/>
    <col min="7942" max="7942" width="15.5546875" customWidth="1"/>
    <col min="7943" max="7943" width="14.5546875" customWidth="1"/>
    <col min="7944" max="7944" width="16.5546875" customWidth="1"/>
    <col min="7945" max="7945" width="14.5546875" customWidth="1"/>
    <col min="7946" max="7946" width="11.5546875" customWidth="1"/>
    <col min="7947" max="7947" width="12.88671875" customWidth="1"/>
    <col min="7948" max="7949" width="13.5546875" customWidth="1"/>
    <col min="7950" max="7950" width="13.44140625" bestFit="1" customWidth="1"/>
    <col min="7951" max="8193" width="9.109375"/>
    <col min="8194" max="8194" width="6.109375" customWidth="1"/>
    <col min="8195" max="8195" width="28.109375" customWidth="1"/>
    <col min="8196" max="8196" width="13.88671875" customWidth="1"/>
    <col min="8197" max="8197" width="14.5546875" customWidth="1"/>
    <col min="8198" max="8198" width="15.5546875" customWidth="1"/>
    <col min="8199" max="8199" width="14.5546875" customWidth="1"/>
    <col min="8200" max="8200" width="16.5546875" customWidth="1"/>
    <col min="8201" max="8201" width="14.5546875" customWidth="1"/>
    <col min="8202" max="8202" width="11.5546875" customWidth="1"/>
    <col min="8203" max="8203" width="12.88671875" customWidth="1"/>
    <col min="8204" max="8205" width="13.5546875" customWidth="1"/>
    <col min="8206" max="8206" width="13.44140625" bestFit="1" customWidth="1"/>
    <col min="8207" max="8449" width="9.109375"/>
    <col min="8450" max="8450" width="6.109375" customWidth="1"/>
    <col min="8451" max="8451" width="28.109375" customWidth="1"/>
    <col min="8452" max="8452" width="13.88671875" customWidth="1"/>
    <col min="8453" max="8453" width="14.5546875" customWidth="1"/>
    <col min="8454" max="8454" width="15.5546875" customWidth="1"/>
    <col min="8455" max="8455" width="14.5546875" customWidth="1"/>
    <col min="8456" max="8456" width="16.5546875" customWidth="1"/>
    <col min="8457" max="8457" width="14.5546875" customWidth="1"/>
    <col min="8458" max="8458" width="11.5546875" customWidth="1"/>
    <col min="8459" max="8459" width="12.88671875" customWidth="1"/>
    <col min="8460" max="8461" width="13.5546875" customWidth="1"/>
    <col min="8462" max="8462" width="13.44140625" bestFit="1" customWidth="1"/>
    <col min="8463" max="8705" width="9.109375"/>
    <col min="8706" max="8706" width="6.109375" customWidth="1"/>
    <col min="8707" max="8707" width="28.109375" customWidth="1"/>
    <col min="8708" max="8708" width="13.88671875" customWidth="1"/>
    <col min="8709" max="8709" width="14.5546875" customWidth="1"/>
    <col min="8710" max="8710" width="15.5546875" customWidth="1"/>
    <col min="8711" max="8711" width="14.5546875" customWidth="1"/>
    <col min="8712" max="8712" width="16.5546875" customWidth="1"/>
    <col min="8713" max="8713" width="14.5546875" customWidth="1"/>
    <col min="8714" max="8714" width="11.5546875" customWidth="1"/>
    <col min="8715" max="8715" width="12.88671875" customWidth="1"/>
    <col min="8716" max="8717" width="13.5546875" customWidth="1"/>
    <col min="8718" max="8718" width="13.44140625" bestFit="1" customWidth="1"/>
    <col min="8719" max="8961" width="9.109375"/>
    <col min="8962" max="8962" width="6.109375" customWidth="1"/>
    <col min="8963" max="8963" width="28.109375" customWidth="1"/>
    <col min="8964" max="8964" width="13.88671875" customWidth="1"/>
    <col min="8965" max="8965" width="14.5546875" customWidth="1"/>
    <col min="8966" max="8966" width="15.5546875" customWidth="1"/>
    <col min="8967" max="8967" width="14.5546875" customWidth="1"/>
    <col min="8968" max="8968" width="16.5546875" customWidth="1"/>
    <col min="8969" max="8969" width="14.5546875" customWidth="1"/>
    <col min="8970" max="8970" width="11.5546875" customWidth="1"/>
    <col min="8971" max="8971" width="12.88671875" customWidth="1"/>
    <col min="8972" max="8973" width="13.5546875" customWidth="1"/>
    <col min="8974" max="8974" width="13.44140625" bestFit="1" customWidth="1"/>
    <col min="8975" max="9217" width="9.109375"/>
    <col min="9218" max="9218" width="6.109375" customWidth="1"/>
    <col min="9219" max="9219" width="28.109375" customWidth="1"/>
    <col min="9220" max="9220" width="13.88671875" customWidth="1"/>
    <col min="9221" max="9221" width="14.5546875" customWidth="1"/>
    <col min="9222" max="9222" width="15.5546875" customWidth="1"/>
    <col min="9223" max="9223" width="14.5546875" customWidth="1"/>
    <col min="9224" max="9224" width="16.5546875" customWidth="1"/>
    <col min="9225" max="9225" width="14.5546875" customWidth="1"/>
    <col min="9226" max="9226" width="11.5546875" customWidth="1"/>
    <col min="9227" max="9227" width="12.88671875" customWidth="1"/>
    <col min="9228" max="9229" width="13.5546875" customWidth="1"/>
    <col min="9230" max="9230" width="13.44140625" bestFit="1" customWidth="1"/>
    <col min="9231" max="9473" width="9.109375"/>
    <col min="9474" max="9474" width="6.109375" customWidth="1"/>
    <col min="9475" max="9475" width="28.109375" customWidth="1"/>
    <col min="9476" max="9476" width="13.88671875" customWidth="1"/>
    <col min="9477" max="9477" width="14.5546875" customWidth="1"/>
    <col min="9478" max="9478" width="15.5546875" customWidth="1"/>
    <col min="9479" max="9479" width="14.5546875" customWidth="1"/>
    <col min="9480" max="9480" width="16.5546875" customWidth="1"/>
    <col min="9481" max="9481" width="14.5546875" customWidth="1"/>
    <col min="9482" max="9482" width="11.5546875" customWidth="1"/>
    <col min="9483" max="9483" width="12.88671875" customWidth="1"/>
    <col min="9484" max="9485" width="13.5546875" customWidth="1"/>
    <col min="9486" max="9486" width="13.44140625" bestFit="1" customWidth="1"/>
    <col min="9487" max="9729" width="9.109375"/>
    <col min="9730" max="9730" width="6.109375" customWidth="1"/>
    <col min="9731" max="9731" width="28.109375" customWidth="1"/>
    <col min="9732" max="9732" width="13.88671875" customWidth="1"/>
    <col min="9733" max="9733" width="14.5546875" customWidth="1"/>
    <col min="9734" max="9734" width="15.5546875" customWidth="1"/>
    <col min="9735" max="9735" width="14.5546875" customWidth="1"/>
    <col min="9736" max="9736" width="16.5546875" customWidth="1"/>
    <col min="9737" max="9737" width="14.5546875" customWidth="1"/>
    <col min="9738" max="9738" width="11.5546875" customWidth="1"/>
    <col min="9739" max="9739" width="12.88671875" customWidth="1"/>
    <col min="9740" max="9741" width="13.5546875" customWidth="1"/>
    <col min="9742" max="9742" width="13.44140625" bestFit="1" customWidth="1"/>
    <col min="9743" max="9985" width="9.109375"/>
    <col min="9986" max="9986" width="6.109375" customWidth="1"/>
    <col min="9987" max="9987" width="28.109375" customWidth="1"/>
    <col min="9988" max="9988" width="13.88671875" customWidth="1"/>
    <col min="9989" max="9989" width="14.5546875" customWidth="1"/>
    <col min="9990" max="9990" width="15.5546875" customWidth="1"/>
    <col min="9991" max="9991" width="14.5546875" customWidth="1"/>
    <col min="9992" max="9992" width="16.5546875" customWidth="1"/>
    <col min="9993" max="9993" width="14.5546875" customWidth="1"/>
    <col min="9994" max="9994" width="11.5546875" customWidth="1"/>
    <col min="9995" max="9995" width="12.88671875" customWidth="1"/>
    <col min="9996" max="9997" width="13.5546875" customWidth="1"/>
    <col min="9998" max="9998" width="13.44140625" bestFit="1" customWidth="1"/>
    <col min="9999" max="10241" width="9.109375"/>
    <col min="10242" max="10242" width="6.109375" customWidth="1"/>
    <col min="10243" max="10243" width="28.109375" customWidth="1"/>
    <col min="10244" max="10244" width="13.88671875" customWidth="1"/>
    <col min="10245" max="10245" width="14.5546875" customWidth="1"/>
    <col min="10246" max="10246" width="15.5546875" customWidth="1"/>
    <col min="10247" max="10247" width="14.5546875" customWidth="1"/>
    <col min="10248" max="10248" width="16.5546875" customWidth="1"/>
    <col min="10249" max="10249" width="14.5546875" customWidth="1"/>
    <col min="10250" max="10250" width="11.5546875" customWidth="1"/>
    <col min="10251" max="10251" width="12.88671875" customWidth="1"/>
    <col min="10252" max="10253" width="13.5546875" customWidth="1"/>
    <col min="10254" max="10254" width="13.44140625" bestFit="1" customWidth="1"/>
    <col min="10255" max="10497" width="9.109375"/>
    <col min="10498" max="10498" width="6.109375" customWidth="1"/>
    <col min="10499" max="10499" width="28.109375" customWidth="1"/>
    <col min="10500" max="10500" width="13.88671875" customWidth="1"/>
    <col min="10501" max="10501" width="14.5546875" customWidth="1"/>
    <col min="10502" max="10502" width="15.5546875" customWidth="1"/>
    <col min="10503" max="10503" width="14.5546875" customWidth="1"/>
    <col min="10504" max="10504" width="16.5546875" customWidth="1"/>
    <col min="10505" max="10505" width="14.5546875" customWidth="1"/>
    <col min="10506" max="10506" width="11.5546875" customWidth="1"/>
    <col min="10507" max="10507" width="12.88671875" customWidth="1"/>
    <col min="10508" max="10509" width="13.5546875" customWidth="1"/>
    <col min="10510" max="10510" width="13.44140625" bestFit="1" customWidth="1"/>
    <col min="10511" max="10753" width="9.109375"/>
    <col min="10754" max="10754" width="6.109375" customWidth="1"/>
    <col min="10755" max="10755" width="28.109375" customWidth="1"/>
    <col min="10756" max="10756" width="13.88671875" customWidth="1"/>
    <col min="10757" max="10757" width="14.5546875" customWidth="1"/>
    <col min="10758" max="10758" width="15.5546875" customWidth="1"/>
    <col min="10759" max="10759" width="14.5546875" customWidth="1"/>
    <col min="10760" max="10760" width="16.5546875" customWidth="1"/>
    <col min="10761" max="10761" width="14.5546875" customWidth="1"/>
    <col min="10762" max="10762" width="11.5546875" customWidth="1"/>
    <col min="10763" max="10763" width="12.88671875" customWidth="1"/>
    <col min="10764" max="10765" width="13.5546875" customWidth="1"/>
    <col min="10766" max="10766" width="13.44140625" bestFit="1" customWidth="1"/>
    <col min="10767" max="11009" width="9.109375"/>
    <col min="11010" max="11010" width="6.109375" customWidth="1"/>
    <col min="11011" max="11011" width="28.109375" customWidth="1"/>
    <col min="11012" max="11012" width="13.88671875" customWidth="1"/>
    <col min="11013" max="11013" width="14.5546875" customWidth="1"/>
    <col min="11014" max="11014" width="15.5546875" customWidth="1"/>
    <col min="11015" max="11015" width="14.5546875" customWidth="1"/>
    <col min="11016" max="11016" width="16.5546875" customWidth="1"/>
    <col min="11017" max="11017" width="14.5546875" customWidth="1"/>
    <col min="11018" max="11018" width="11.5546875" customWidth="1"/>
    <col min="11019" max="11019" width="12.88671875" customWidth="1"/>
    <col min="11020" max="11021" width="13.5546875" customWidth="1"/>
    <col min="11022" max="11022" width="13.44140625" bestFit="1" customWidth="1"/>
    <col min="11023" max="11265" width="9.109375"/>
    <col min="11266" max="11266" width="6.109375" customWidth="1"/>
    <col min="11267" max="11267" width="28.109375" customWidth="1"/>
    <col min="11268" max="11268" width="13.88671875" customWidth="1"/>
    <col min="11269" max="11269" width="14.5546875" customWidth="1"/>
    <col min="11270" max="11270" width="15.5546875" customWidth="1"/>
    <col min="11271" max="11271" width="14.5546875" customWidth="1"/>
    <col min="11272" max="11272" width="16.5546875" customWidth="1"/>
    <col min="11273" max="11273" width="14.5546875" customWidth="1"/>
    <col min="11274" max="11274" width="11.5546875" customWidth="1"/>
    <col min="11275" max="11275" width="12.88671875" customWidth="1"/>
    <col min="11276" max="11277" width="13.5546875" customWidth="1"/>
    <col min="11278" max="11278" width="13.44140625" bestFit="1" customWidth="1"/>
    <col min="11279" max="11521" width="9.109375"/>
    <col min="11522" max="11522" width="6.109375" customWidth="1"/>
    <col min="11523" max="11523" width="28.109375" customWidth="1"/>
    <col min="11524" max="11524" width="13.88671875" customWidth="1"/>
    <col min="11525" max="11525" width="14.5546875" customWidth="1"/>
    <col min="11526" max="11526" width="15.5546875" customWidth="1"/>
    <col min="11527" max="11527" width="14.5546875" customWidth="1"/>
    <col min="11528" max="11528" width="16.5546875" customWidth="1"/>
    <col min="11529" max="11529" width="14.5546875" customWidth="1"/>
    <col min="11530" max="11530" width="11.5546875" customWidth="1"/>
    <col min="11531" max="11531" width="12.88671875" customWidth="1"/>
    <col min="11532" max="11533" width="13.5546875" customWidth="1"/>
    <col min="11534" max="11534" width="13.44140625" bestFit="1" customWidth="1"/>
    <col min="11535" max="11777" width="9.109375"/>
    <col min="11778" max="11778" width="6.109375" customWidth="1"/>
    <col min="11779" max="11779" width="28.109375" customWidth="1"/>
    <col min="11780" max="11780" width="13.88671875" customWidth="1"/>
    <col min="11781" max="11781" width="14.5546875" customWidth="1"/>
    <col min="11782" max="11782" width="15.5546875" customWidth="1"/>
    <col min="11783" max="11783" width="14.5546875" customWidth="1"/>
    <col min="11784" max="11784" width="16.5546875" customWidth="1"/>
    <col min="11785" max="11785" width="14.5546875" customWidth="1"/>
    <col min="11786" max="11786" width="11.5546875" customWidth="1"/>
    <col min="11787" max="11787" width="12.88671875" customWidth="1"/>
    <col min="11788" max="11789" width="13.5546875" customWidth="1"/>
    <col min="11790" max="11790" width="13.44140625" bestFit="1" customWidth="1"/>
    <col min="11791" max="12033" width="9.109375"/>
    <col min="12034" max="12034" width="6.109375" customWidth="1"/>
    <col min="12035" max="12035" width="28.109375" customWidth="1"/>
    <col min="12036" max="12036" width="13.88671875" customWidth="1"/>
    <col min="12037" max="12037" width="14.5546875" customWidth="1"/>
    <col min="12038" max="12038" width="15.5546875" customWidth="1"/>
    <col min="12039" max="12039" width="14.5546875" customWidth="1"/>
    <col min="12040" max="12040" width="16.5546875" customWidth="1"/>
    <col min="12041" max="12041" width="14.5546875" customWidth="1"/>
    <col min="12042" max="12042" width="11.5546875" customWidth="1"/>
    <col min="12043" max="12043" width="12.88671875" customWidth="1"/>
    <col min="12044" max="12045" width="13.5546875" customWidth="1"/>
    <col min="12046" max="12046" width="13.44140625" bestFit="1" customWidth="1"/>
    <col min="12047" max="12289" width="9.109375"/>
    <col min="12290" max="12290" width="6.109375" customWidth="1"/>
    <col min="12291" max="12291" width="28.109375" customWidth="1"/>
    <col min="12292" max="12292" width="13.88671875" customWidth="1"/>
    <col min="12293" max="12293" width="14.5546875" customWidth="1"/>
    <col min="12294" max="12294" width="15.5546875" customWidth="1"/>
    <col min="12295" max="12295" width="14.5546875" customWidth="1"/>
    <col min="12296" max="12296" width="16.5546875" customWidth="1"/>
    <col min="12297" max="12297" width="14.5546875" customWidth="1"/>
    <col min="12298" max="12298" width="11.5546875" customWidth="1"/>
    <col min="12299" max="12299" width="12.88671875" customWidth="1"/>
    <col min="12300" max="12301" width="13.5546875" customWidth="1"/>
    <col min="12302" max="12302" width="13.44140625" bestFit="1" customWidth="1"/>
    <col min="12303" max="12545" width="9.109375"/>
    <col min="12546" max="12546" width="6.109375" customWidth="1"/>
    <col min="12547" max="12547" width="28.109375" customWidth="1"/>
    <col min="12548" max="12548" width="13.88671875" customWidth="1"/>
    <col min="12549" max="12549" width="14.5546875" customWidth="1"/>
    <col min="12550" max="12550" width="15.5546875" customWidth="1"/>
    <col min="12551" max="12551" width="14.5546875" customWidth="1"/>
    <col min="12552" max="12552" width="16.5546875" customWidth="1"/>
    <col min="12553" max="12553" width="14.5546875" customWidth="1"/>
    <col min="12554" max="12554" width="11.5546875" customWidth="1"/>
    <col min="12555" max="12555" width="12.88671875" customWidth="1"/>
    <col min="12556" max="12557" width="13.5546875" customWidth="1"/>
    <col min="12558" max="12558" width="13.44140625" bestFit="1" customWidth="1"/>
    <col min="12559" max="12801" width="9.109375"/>
    <col min="12802" max="12802" width="6.109375" customWidth="1"/>
    <col min="12803" max="12803" width="28.109375" customWidth="1"/>
    <col min="12804" max="12804" width="13.88671875" customWidth="1"/>
    <col min="12805" max="12805" width="14.5546875" customWidth="1"/>
    <col min="12806" max="12806" width="15.5546875" customWidth="1"/>
    <col min="12807" max="12807" width="14.5546875" customWidth="1"/>
    <col min="12808" max="12808" width="16.5546875" customWidth="1"/>
    <col min="12809" max="12809" width="14.5546875" customWidth="1"/>
    <col min="12810" max="12810" width="11.5546875" customWidth="1"/>
    <col min="12811" max="12811" width="12.88671875" customWidth="1"/>
    <col min="12812" max="12813" width="13.5546875" customWidth="1"/>
    <col min="12814" max="12814" width="13.44140625" bestFit="1" customWidth="1"/>
    <col min="12815" max="13057" width="9.109375"/>
    <col min="13058" max="13058" width="6.109375" customWidth="1"/>
    <col min="13059" max="13059" width="28.109375" customWidth="1"/>
    <col min="13060" max="13060" width="13.88671875" customWidth="1"/>
    <col min="13061" max="13061" width="14.5546875" customWidth="1"/>
    <col min="13062" max="13062" width="15.5546875" customWidth="1"/>
    <col min="13063" max="13063" width="14.5546875" customWidth="1"/>
    <col min="13064" max="13064" width="16.5546875" customWidth="1"/>
    <col min="13065" max="13065" width="14.5546875" customWidth="1"/>
    <col min="13066" max="13066" width="11.5546875" customWidth="1"/>
    <col min="13067" max="13067" width="12.88671875" customWidth="1"/>
    <col min="13068" max="13069" width="13.5546875" customWidth="1"/>
    <col min="13070" max="13070" width="13.44140625" bestFit="1" customWidth="1"/>
    <col min="13071" max="13313" width="9.109375"/>
    <col min="13314" max="13314" width="6.109375" customWidth="1"/>
    <col min="13315" max="13315" width="28.109375" customWidth="1"/>
    <col min="13316" max="13316" width="13.88671875" customWidth="1"/>
    <col min="13317" max="13317" width="14.5546875" customWidth="1"/>
    <col min="13318" max="13318" width="15.5546875" customWidth="1"/>
    <col min="13319" max="13319" width="14.5546875" customWidth="1"/>
    <col min="13320" max="13320" width="16.5546875" customWidth="1"/>
    <col min="13321" max="13321" width="14.5546875" customWidth="1"/>
    <col min="13322" max="13322" width="11.5546875" customWidth="1"/>
    <col min="13323" max="13323" width="12.88671875" customWidth="1"/>
    <col min="13324" max="13325" width="13.5546875" customWidth="1"/>
    <col min="13326" max="13326" width="13.44140625" bestFit="1" customWidth="1"/>
    <col min="13327" max="13569" width="9.109375"/>
    <col min="13570" max="13570" width="6.109375" customWidth="1"/>
    <col min="13571" max="13571" width="28.109375" customWidth="1"/>
    <col min="13572" max="13572" width="13.88671875" customWidth="1"/>
    <col min="13573" max="13573" width="14.5546875" customWidth="1"/>
    <col min="13574" max="13574" width="15.5546875" customWidth="1"/>
    <col min="13575" max="13575" width="14.5546875" customWidth="1"/>
    <col min="13576" max="13576" width="16.5546875" customWidth="1"/>
    <col min="13577" max="13577" width="14.5546875" customWidth="1"/>
    <col min="13578" max="13578" width="11.5546875" customWidth="1"/>
    <col min="13579" max="13579" width="12.88671875" customWidth="1"/>
    <col min="13580" max="13581" width="13.5546875" customWidth="1"/>
    <col min="13582" max="13582" width="13.44140625" bestFit="1" customWidth="1"/>
    <col min="13583" max="13825" width="9.109375"/>
    <col min="13826" max="13826" width="6.109375" customWidth="1"/>
    <col min="13827" max="13827" width="28.109375" customWidth="1"/>
    <col min="13828" max="13828" width="13.88671875" customWidth="1"/>
    <col min="13829" max="13829" width="14.5546875" customWidth="1"/>
    <col min="13830" max="13830" width="15.5546875" customWidth="1"/>
    <col min="13831" max="13831" width="14.5546875" customWidth="1"/>
    <col min="13832" max="13832" width="16.5546875" customWidth="1"/>
    <col min="13833" max="13833" width="14.5546875" customWidth="1"/>
    <col min="13834" max="13834" width="11.5546875" customWidth="1"/>
    <col min="13835" max="13835" width="12.88671875" customWidth="1"/>
    <col min="13836" max="13837" width="13.5546875" customWidth="1"/>
    <col min="13838" max="13838" width="13.44140625" bestFit="1" customWidth="1"/>
    <col min="13839" max="14081" width="9.109375"/>
    <col min="14082" max="14082" width="6.109375" customWidth="1"/>
    <col min="14083" max="14083" width="28.109375" customWidth="1"/>
    <col min="14084" max="14084" width="13.88671875" customWidth="1"/>
    <col min="14085" max="14085" width="14.5546875" customWidth="1"/>
    <col min="14086" max="14086" width="15.5546875" customWidth="1"/>
    <col min="14087" max="14087" width="14.5546875" customWidth="1"/>
    <col min="14088" max="14088" width="16.5546875" customWidth="1"/>
    <col min="14089" max="14089" width="14.5546875" customWidth="1"/>
    <col min="14090" max="14090" width="11.5546875" customWidth="1"/>
    <col min="14091" max="14091" width="12.88671875" customWidth="1"/>
    <col min="14092" max="14093" width="13.5546875" customWidth="1"/>
    <col min="14094" max="14094" width="13.44140625" bestFit="1" customWidth="1"/>
    <col min="14095" max="14337" width="9.109375"/>
    <col min="14338" max="14338" width="6.109375" customWidth="1"/>
    <col min="14339" max="14339" width="28.109375" customWidth="1"/>
    <col min="14340" max="14340" width="13.88671875" customWidth="1"/>
    <col min="14341" max="14341" width="14.5546875" customWidth="1"/>
    <col min="14342" max="14342" width="15.5546875" customWidth="1"/>
    <col min="14343" max="14343" width="14.5546875" customWidth="1"/>
    <col min="14344" max="14344" width="16.5546875" customWidth="1"/>
    <col min="14345" max="14345" width="14.5546875" customWidth="1"/>
    <col min="14346" max="14346" width="11.5546875" customWidth="1"/>
    <col min="14347" max="14347" width="12.88671875" customWidth="1"/>
    <col min="14348" max="14349" width="13.5546875" customWidth="1"/>
    <col min="14350" max="14350" width="13.44140625" bestFit="1" customWidth="1"/>
    <col min="14351" max="14593" width="9.109375"/>
    <col min="14594" max="14594" width="6.109375" customWidth="1"/>
    <col min="14595" max="14595" width="28.109375" customWidth="1"/>
    <col min="14596" max="14596" width="13.88671875" customWidth="1"/>
    <col min="14597" max="14597" width="14.5546875" customWidth="1"/>
    <col min="14598" max="14598" width="15.5546875" customWidth="1"/>
    <col min="14599" max="14599" width="14.5546875" customWidth="1"/>
    <col min="14600" max="14600" width="16.5546875" customWidth="1"/>
    <col min="14601" max="14601" width="14.5546875" customWidth="1"/>
    <col min="14602" max="14602" width="11.5546875" customWidth="1"/>
    <col min="14603" max="14603" width="12.88671875" customWidth="1"/>
    <col min="14604" max="14605" width="13.5546875" customWidth="1"/>
    <col min="14606" max="14606" width="13.44140625" bestFit="1" customWidth="1"/>
    <col min="14607" max="14849" width="9.109375"/>
    <col min="14850" max="14850" width="6.109375" customWidth="1"/>
    <col min="14851" max="14851" width="28.109375" customWidth="1"/>
    <col min="14852" max="14852" width="13.88671875" customWidth="1"/>
    <col min="14853" max="14853" width="14.5546875" customWidth="1"/>
    <col min="14854" max="14854" width="15.5546875" customWidth="1"/>
    <col min="14855" max="14855" width="14.5546875" customWidth="1"/>
    <col min="14856" max="14856" width="16.5546875" customWidth="1"/>
    <col min="14857" max="14857" width="14.5546875" customWidth="1"/>
    <col min="14858" max="14858" width="11.5546875" customWidth="1"/>
    <col min="14859" max="14859" width="12.88671875" customWidth="1"/>
    <col min="14860" max="14861" width="13.5546875" customWidth="1"/>
    <col min="14862" max="14862" width="13.44140625" bestFit="1" customWidth="1"/>
    <col min="14863" max="15105" width="9.109375"/>
    <col min="15106" max="15106" width="6.109375" customWidth="1"/>
    <col min="15107" max="15107" width="28.109375" customWidth="1"/>
    <col min="15108" max="15108" width="13.88671875" customWidth="1"/>
    <col min="15109" max="15109" width="14.5546875" customWidth="1"/>
    <col min="15110" max="15110" width="15.5546875" customWidth="1"/>
    <col min="15111" max="15111" width="14.5546875" customWidth="1"/>
    <col min="15112" max="15112" width="16.5546875" customWidth="1"/>
    <col min="15113" max="15113" width="14.5546875" customWidth="1"/>
    <col min="15114" max="15114" width="11.5546875" customWidth="1"/>
    <col min="15115" max="15115" width="12.88671875" customWidth="1"/>
    <col min="15116" max="15117" width="13.5546875" customWidth="1"/>
    <col min="15118" max="15118" width="13.44140625" bestFit="1" customWidth="1"/>
    <col min="15119" max="15361" width="9.109375"/>
    <col min="15362" max="15362" width="6.109375" customWidth="1"/>
    <col min="15363" max="15363" width="28.109375" customWidth="1"/>
    <col min="15364" max="15364" width="13.88671875" customWidth="1"/>
    <col min="15365" max="15365" width="14.5546875" customWidth="1"/>
    <col min="15366" max="15366" width="15.5546875" customWidth="1"/>
    <col min="15367" max="15367" width="14.5546875" customWidth="1"/>
    <col min="15368" max="15368" width="16.5546875" customWidth="1"/>
    <col min="15369" max="15369" width="14.5546875" customWidth="1"/>
    <col min="15370" max="15370" width="11.5546875" customWidth="1"/>
    <col min="15371" max="15371" width="12.88671875" customWidth="1"/>
    <col min="15372" max="15373" width="13.5546875" customWidth="1"/>
    <col min="15374" max="15374" width="13.44140625" bestFit="1" customWidth="1"/>
    <col min="15375" max="15617" width="9.109375"/>
    <col min="15618" max="15618" width="6.109375" customWidth="1"/>
    <col min="15619" max="15619" width="28.109375" customWidth="1"/>
    <col min="15620" max="15620" width="13.88671875" customWidth="1"/>
    <col min="15621" max="15621" width="14.5546875" customWidth="1"/>
    <col min="15622" max="15622" width="15.5546875" customWidth="1"/>
    <col min="15623" max="15623" width="14.5546875" customWidth="1"/>
    <col min="15624" max="15624" width="16.5546875" customWidth="1"/>
    <col min="15625" max="15625" width="14.5546875" customWidth="1"/>
    <col min="15626" max="15626" width="11.5546875" customWidth="1"/>
    <col min="15627" max="15627" width="12.88671875" customWidth="1"/>
    <col min="15628" max="15629" width="13.5546875" customWidth="1"/>
    <col min="15630" max="15630" width="13.44140625" bestFit="1" customWidth="1"/>
    <col min="15631" max="15873" width="9.109375"/>
    <col min="15874" max="15874" width="6.109375" customWidth="1"/>
    <col min="15875" max="15875" width="28.109375" customWidth="1"/>
    <col min="15876" max="15876" width="13.88671875" customWidth="1"/>
    <col min="15877" max="15877" width="14.5546875" customWidth="1"/>
    <col min="15878" max="15878" width="15.5546875" customWidth="1"/>
    <col min="15879" max="15879" width="14.5546875" customWidth="1"/>
    <col min="15880" max="15880" width="16.5546875" customWidth="1"/>
    <col min="15881" max="15881" width="14.5546875" customWidth="1"/>
    <col min="15882" max="15882" width="11.5546875" customWidth="1"/>
    <col min="15883" max="15883" width="12.88671875" customWidth="1"/>
    <col min="15884" max="15885" width="13.5546875" customWidth="1"/>
    <col min="15886" max="15886" width="13.44140625" bestFit="1" customWidth="1"/>
    <col min="15887" max="16129" width="9.109375"/>
    <col min="16130" max="16130" width="6.109375" customWidth="1"/>
    <col min="16131" max="16131" width="28.109375" customWidth="1"/>
    <col min="16132" max="16132" width="13.88671875" customWidth="1"/>
    <col min="16133" max="16133" width="14.5546875" customWidth="1"/>
    <col min="16134" max="16134" width="15.5546875" customWidth="1"/>
    <col min="16135" max="16135" width="14.5546875" customWidth="1"/>
    <col min="16136" max="16136" width="16.5546875" customWidth="1"/>
    <col min="16137" max="16137" width="14.5546875" customWidth="1"/>
    <col min="16138" max="16138" width="11.5546875" customWidth="1"/>
    <col min="16139" max="16139" width="12.88671875" customWidth="1"/>
    <col min="16140" max="16141" width="13.5546875" customWidth="1"/>
    <col min="16142" max="16142" width="13.44140625" bestFit="1" customWidth="1"/>
    <col min="16143" max="16384" width="9.109375"/>
  </cols>
  <sheetData>
    <row r="1" spans="1:15" ht="18" x14ac:dyDescent="0.35">
      <c r="B1" s="29" t="s">
        <v>123</v>
      </c>
    </row>
    <row r="2" spans="1:15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  <c r="M2" s="31"/>
      <c r="N2" s="30"/>
      <c r="O2" s="32"/>
    </row>
    <row r="3" spans="1:15" s="40" customFormat="1" x14ac:dyDescent="0.3">
      <c r="A3" s="33"/>
      <c r="B3" s="868" t="s">
        <v>0</v>
      </c>
      <c r="C3" s="34" t="s">
        <v>1</v>
      </c>
      <c r="D3" s="35" t="s">
        <v>2</v>
      </c>
      <c r="E3" s="36" t="s">
        <v>3</v>
      </c>
      <c r="F3" s="36" t="s">
        <v>4</v>
      </c>
      <c r="G3" s="36" t="s">
        <v>5</v>
      </c>
      <c r="H3" s="36" t="s">
        <v>6</v>
      </c>
      <c r="I3" s="37" t="s">
        <v>7</v>
      </c>
      <c r="J3" s="37" t="s">
        <v>8</v>
      </c>
      <c r="K3" s="37" t="s">
        <v>9</v>
      </c>
      <c r="L3" s="37" t="s">
        <v>10</v>
      </c>
      <c r="M3" s="38"/>
      <c r="N3" s="39"/>
    </row>
    <row r="4" spans="1:15" ht="91.35" customHeight="1" x14ac:dyDescent="0.3">
      <c r="A4" s="41"/>
      <c r="B4" s="869"/>
      <c r="C4" s="42" t="s">
        <v>11</v>
      </c>
      <c r="D4" s="36" t="s">
        <v>12</v>
      </c>
      <c r="E4" s="36" t="s">
        <v>13</v>
      </c>
      <c r="F4" s="36" t="s">
        <v>14</v>
      </c>
      <c r="G4" s="36" t="s">
        <v>15</v>
      </c>
      <c r="H4" s="36" t="s">
        <v>16</v>
      </c>
      <c r="I4" s="43" t="s">
        <v>17</v>
      </c>
      <c r="J4" s="43" t="s">
        <v>18</v>
      </c>
      <c r="K4" s="43" t="s">
        <v>19</v>
      </c>
      <c r="L4" s="43" t="s">
        <v>20</v>
      </c>
      <c r="M4" s="36" t="s">
        <v>21</v>
      </c>
      <c r="N4" s="851" t="s">
        <v>2345</v>
      </c>
    </row>
    <row r="5" spans="1:15" s="40" customFormat="1" ht="28.2" x14ac:dyDescent="0.3">
      <c r="A5" s="44">
        <v>1</v>
      </c>
      <c r="B5" s="45" t="s">
        <v>22</v>
      </c>
      <c r="C5" s="46">
        <v>5000000</v>
      </c>
      <c r="D5" s="60">
        <f>SUM(E5:L5)</f>
        <v>882713.53</v>
      </c>
      <c r="E5" s="61">
        <v>85230</v>
      </c>
      <c r="F5" s="61">
        <v>411890</v>
      </c>
      <c r="G5" s="61">
        <v>140759</v>
      </c>
      <c r="H5" s="61">
        <v>31715</v>
      </c>
      <c r="I5" s="870">
        <v>168553</v>
      </c>
      <c r="J5" s="871"/>
      <c r="K5" s="60">
        <v>0</v>
      </c>
      <c r="L5" s="60">
        <v>44566.53</v>
      </c>
      <c r="M5" s="47">
        <v>91</v>
      </c>
      <c r="N5" s="852"/>
    </row>
    <row r="6" spans="1:15" x14ac:dyDescent="0.3">
      <c r="A6" s="19">
        <v>2</v>
      </c>
      <c r="B6" s="20" t="s">
        <v>23</v>
      </c>
      <c r="C6" s="48">
        <v>12518.78</v>
      </c>
      <c r="D6" s="49"/>
      <c r="E6" s="50"/>
      <c r="F6" s="50"/>
      <c r="G6" s="50"/>
      <c r="H6" s="50"/>
      <c r="I6" s="50"/>
      <c r="J6" s="50"/>
      <c r="K6" s="50"/>
      <c r="L6" s="50"/>
      <c r="M6" s="19"/>
      <c r="N6" s="852"/>
    </row>
    <row r="7" spans="1:15" ht="28.2" x14ac:dyDescent="0.3">
      <c r="A7" s="51">
        <v>3</v>
      </c>
      <c r="B7" s="52" t="s">
        <v>24</v>
      </c>
      <c r="C7" s="53">
        <v>68000</v>
      </c>
      <c r="D7" s="49">
        <v>5000</v>
      </c>
      <c r="E7" s="50"/>
      <c r="F7" s="50"/>
      <c r="G7" s="50"/>
      <c r="H7" s="50"/>
      <c r="I7" s="50"/>
      <c r="J7" s="50"/>
      <c r="K7" s="50"/>
      <c r="L7" s="50"/>
      <c r="M7" s="19"/>
      <c r="N7" s="853"/>
    </row>
    <row r="8" spans="1:15" ht="28.2" x14ac:dyDescent="0.3">
      <c r="A8" s="51">
        <v>4</v>
      </c>
      <c r="B8" s="52" t="s">
        <v>25</v>
      </c>
      <c r="C8" s="53">
        <v>900000</v>
      </c>
      <c r="D8" s="49"/>
      <c r="E8" s="50"/>
      <c r="F8" s="50"/>
      <c r="G8" s="50"/>
      <c r="H8" s="50"/>
      <c r="I8" s="50"/>
      <c r="J8" s="50"/>
      <c r="K8" s="50"/>
      <c r="L8" s="50"/>
      <c r="M8" s="19"/>
      <c r="N8" s="852"/>
    </row>
    <row r="9" spans="1:15" ht="28.2" x14ac:dyDescent="0.3">
      <c r="A9" s="19">
        <v>5</v>
      </c>
      <c r="B9" s="20" t="s">
        <v>26</v>
      </c>
      <c r="C9" s="48">
        <v>1300000</v>
      </c>
      <c r="D9" s="19"/>
      <c r="E9" s="19"/>
      <c r="F9" s="19"/>
      <c r="G9" s="19"/>
      <c r="H9" s="19"/>
      <c r="I9" s="19"/>
      <c r="J9" s="19"/>
      <c r="K9" s="54"/>
      <c r="L9" s="54"/>
      <c r="M9" s="17"/>
      <c r="N9" s="852"/>
    </row>
    <row r="10" spans="1:15" x14ac:dyDescent="0.3">
      <c r="A10" s="19">
        <v>6</v>
      </c>
      <c r="B10" s="19" t="s">
        <v>27</v>
      </c>
      <c r="C10" s="48">
        <v>2000000</v>
      </c>
      <c r="D10" s="19"/>
      <c r="E10" s="19"/>
      <c r="F10" s="19"/>
      <c r="G10" s="19"/>
      <c r="H10" s="19"/>
      <c r="I10" s="19"/>
      <c r="J10" s="19"/>
      <c r="K10" s="54"/>
      <c r="L10" s="54"/>
      <c r="M10" s="17"/>
      <c r="N10" s="852" t="s">
        <v>2343</v>
      </c>
    </row>
    <row r="11" spans="1:15" x14ac:dyDescent="0.3">
      <c r="A11" s="19">
        <v>7</v>
      </c>
      <c r="B11" s="19" t="s">
        <v>28</v>
      </c>
      <c r="C11" s="48">
        <v>136000</v>
      </c>
      <c r="D11" s="19"/>
      <c r="E11" s="19"/>
      <c r="F11" s="19"/>
      <c r="G11" s="19"/>
      <c r="H11" s="19"/>
      <c r="I11" s="19"/>
      <c r="J11" s="19"/>
      <c r="K11" s="54"/>
      <c r="L11" s="54"/>
      <c r="M11" s="17"/>
      <c r="N11" s="852" t="s">
        <v>2343</v>
      </c>
    </row>
    <row r="12" spans="1:15" ht="28.2" x14ac:dyDescent="0.3">
      <c r="A12" s="19">
        <v>8</v>
      </c>
      <c r="B12" s="20" t="s">
        <v>29</v>
      </c>
      <c r="C12" s="48">
        <v>130000</v>
      </c>
      <c r="D12" s="19"/>
      <c r="E12" s="19"/>
      <c r="F12" s="19"/>
      <c r="G12" s="19"/>
      <c r="H12" s="19"/>
      <c r="I12" s="19"/>
      <c r="J12" s="19"/>
      <c r="K12" s="54"/>
      <c r="L12" s="54"/>
      <c r="M12" s="17"/>
      <c r="N12" s="852" t="s">
        <v>2343</v>
      </c>
    </row>
    <row r="13" spans="1:15" ht="28.2" x14ac:dyDescent="0.3">
      <c r="A13" s="19">
        <v>9</v>
      </c>
      <c r="B13" s="20" t="s">
        <v>119</v>
      </c>
      <c r="C13" s="48">
        <v>50000</v>
      </c>
      <c r="D13" s="19"/>
      <c r="E13" s="19"/>
      <c r="F13" s="19"/>
      <c r="G13" s="19"/>
      <c r="H13" s="19"/>
      <c r="I13" s="19"/>
      <c r="J13" s="19"/>
      <c r="K13" s="54"/>
      <c r="L13" s="54"/>
      <c r="M13" s="17"/>
      <c r="N13" s="852" t="s">
        <v>2343</v>
      </c>
    </row>
    <row r="14" spans="1:15" x14ac:dyDescent="0.3">
      <c r="A14" s="19">
        <v>10</v>
      </c>
      <c r="B14" s="20" t="s">
        <v>30</v>
      </c>
      <c r="C14" s="48">
        <v>200000</v>
      </c>
      <c r="D14" s="19"/>
      <c r="E14" s="19"/>
      <c r="F14" s="19"/>
      <c r="G14" s="19"/>
      <c r="H14" s="19"/>
      <c r="I14" s="19"/>
      <c r="J14" s="19"/>
      <c r="K14" s="54"/>
      <c r="L14" s="54"/>
      <c r="M14" s="17"/>
      <c r="N14" s="852" t="s">
        <v>2343</v>
      </c>
    </row>
    <row r="15" spans="1:15" ht="28.2" x14ac:dyDescent="0.3">
      <c r="A15" s="19">
        <v>11</v>
      </c>
      <c r="B15" s="62" t="s">
        <v>122</v>
      </c>
      <c r="C15" s="49">
        <v>50000</v>
      </c>
      <c r="D15" s="19"/>
      <c r="E15" s="19"/>
      <c r="F15" s="19"/>
      <c r="G15" s="19"/>
      <c r="H15" s="19"/>
      <c r="I15" s="19"/>
      <c r="J15" s="19"/>
      <c r="K15" s="54"/>
      <c r="L15" s="54"/>
      <c r="M15" s="17"/>
      <c r="N15" s="852"/>
    </row>
    <row r="16" spans="1:15" x14ac:dyDescent="0.3">
      <c r="A16" s="19">
        <v>12</v>
      </c>
      <c r="B16" s="20" t="s">
        <v>32</v>
      </c>
      <c r="C16" s="49">
        <v>50000</v>
      </c>
      <c r="D16" s="19"/>
      <c r="E16" s="19"/>
      <c r="F16" s="19"/>
      <c r="G16" s="19"/>
      <c r="H16" s="19"/>
      <c r="I16" s="19"/>
      <c r="J16" s="19"/>
      <c r="K16" s="54"/>
      <c r="L16" s="54"/>
      <c r="M16" s="17"/>
      <c r="N16" s="852"/>
    </row>
    <row r="17" spans="1:15" x14ac:dyDescent="0.3">
      <c r="A17" s="19">
        <v>13</v>
      </c>
      <c r="B17" s="19" t="s">
        <v>33</v>
      </c>
      <c r="C17" s="49">
        <v>85000</v>
      </c>
      <c r="D17" s="19"/>
      <c r="E17" s="19"/>
      <c r="F17" s="19"/>
      <c r="G17" s="19"/>
      <c r="H17" s="19"/>
      <c r="I17" s="19"/>
      <c r="J17" s="19"/>
      <c r="K17" s="54"/>
      <c r="L17" s="54"/>
      <c r="M17" s="17"/>
      <c r="N17" s="852" t="s">
        <v>2343</v>
      </c>
    </row>
    <row r="18" spans="1:15" x14ac:dyDescent="0.3">
      <c r="A18" s="19">
        <v>14</v>
      </c>
      <c r="B18" s="19" t="s">
        <v>34</v>
      </c>
      <c r="C18" s="49">
        <v>94600</v>
      </c>
      <c r="D18" s="19"/>
      <c r="E18" s="19"/>
      <c r="F18" s="19"/>
      <c r="G18" s="19"/>
      <c r="H18" s="19"/>
      <c r="I18" s="19"/>
      <c r="J18" s="19"/>
      <c r="K18" s="54"/>
      <c r="L18" s="54"/>
      <c r="M18" s="17"/>
      <c r="N18" s="852" t="s">
        <v>2343</v>
      </c>
    </row>
    <row r="19" spans="1:15" x14ac:dyDescent="0.3">
      <c r="A19" s="19">
        <v>15</v>
      </c>
      <c r="B19" s="19" t="s">
        <v>35</v>
      </c>
      <c r="C19" s="49">
        <v>50000</v>
      </c>
      <c r="D19" s="19"/>
      <c r="E19" s="19"/>
      <c r="F19" s="19"/>
      <c r="G19" s="19"/>
      <c r="H19" s="19"/>
      <c r="I19" s="19"/>
      <c r="J19" s="19"/>
      <c r="K19" s="54"/>
      <c r="L19" s="54"/>
      <c r="M19" s="17"/>
      <c r="N19" s="852" t="s">
        <v>2343</v>
      </c>
    </row>
    <row r="20" spans="1:15" x14ac:dyDescent="0.3">
      <c r="A20" s="19">
        <v>16</v>
      </c>
      <c r="B20" s="19" t="s">
        <v>120</v>
      </c>
      <c r="C20" s="49">
        <v>690000</v>
      </c>
      <c r="D20" s="19"/>
      <c r="E20" s="19"/>
      <c r="F20" s="19"/>
      <c r="G20" s="19"/>
      <c r="H20" s="19"/>
      <c r="I20" s="19"/>
      <c r="J20" s="19"/>
      <c r="K20" s="54"/>
      <c r="L20" s="54"/>
      <c r="M20" s="17"/>
      <c r="N20" s="852"/>
    </row>
    <row r="21" spans="1:15" ht="42" x14ac:dyDescent="0.3">
      <c r="A21" s="19">
        <v>17</v>
      </c>
      <c r="B21" s="20" t="s">
        <v>124</v>
      </c>
      <c r="C21" s="49">
        <v>146800</v>
      </c>
      <c r="D21" s="19"/>
      <c r="E21" s="19"/>
      <c r="F21" s="19"/>
      <c r="G21" s="19"/>
      <c r="H21" s="19"/>
      <c r="I21" s="19"/>
      <c r="J21" s="19"/>
      <c r="K21" s="54"/>
      <c r="L21" s="54"/>
      <c r="M21" s="17"/>
      <c r="N21" s="852"/>
    </row>
    <row r="22" spans="1:15" ht="28.2" x14ac:dyDescent="0.3">
      <c r="A22" s="19">
        <v>18</v>
      </c>
      <c r="B22" s="20" t="s">
        <v>125</v>
      </c>
      <c r="C22" s="49">
        <v>179650</v>
      </c>
      <c r="D22" s="19"/>
      <c r="E22" s="19"/>
      <c r="F22" s="19"/>
      <c r="G22" s="19"/>
      <c r="H22" s="19"/>
      <c r="I22" s="19"/>
      <c r="J22" s="19"/>
      <c r="K22" s="54"/>
      <c r="L22" s="54"/>
      <c r="M22" s="17"/>
      <c r="N22" s="852"/>
    </row>
    <row r="23" spans="1:15" ht="42" x14ac:dyDescent="0.3">
      <c r="A23" s="19">
        <v>19</v>
      </c>
      <c r="B23" s="20" t="s">
        <v>126</v>
      </c>
      <c r="C23" s="49">
        <v>20000</v>
      </c>
      <c r="D23" s="19" t="s">
        <v>127</v>
      </c>
      <c r="E23" s="19"/>
      <c r="F23" s="19"/>
      <c r="G23" s="19"/>
      <c r="H23" s="19"/>
      <c r="I23" s="19"/>
      <c r="J23" s="19"/>
      <c r="K23" s="54"/>
      <c r="L23" s="54"/>
      <c r="M23" s="17"/>
      <c r="N23" s="852"/>
    </row>
    <row r="24" spans="1:15" ht="42" x14ac:dyDescent="0.3">
      <c r="A24" s="19">
        <v>20</v>
      </c>
      <c r="B24" s="20" t="s">
        <v>128</v>
      </c>
      <c r="C24" s="49">
        <v>25000</v>
      </c>
      <c r="D24" s="19"/>
      <c r="E24" s="19"/>
      <c r="F24" s="19"/>
      <c r="G24" s="19"/>
      <c r="H24" s="19"/>
      <c r="I24" s="19"/>
      <c r="J24" s="19"/>
      <c r="K24" s="54"/>
      <c r="L24" s="54"/>
      <c r="M24" s="17"/>
      <c r="N24" s="852"/>
    </row>
    <row r="25" spans="1:15" ht="42" x14ac:dyDescent="0.3">
      <c r="A25" s="19">
        <v>21</v>
      </c>
      <c r="B25" s="20" t="s">
        <v>129</v>
      </c>
      <c r="C25" s="49">
        <v>40000</v>
      </c>
      <c r="D25" s="19"/>
      <c r="E25" s="19"/>
      <c r="F25" s="19"/>
      <c r="G25" s="19"/>
      <c r="H25" s="19"/>
      <c r="I25" s="19"/>
      <c r="J25" s="19"/>
      <c r="K25" s="54"/>
      <c r="L25" s="54"/>
      <c r="M25" s="17"/>
      <c r="N25" s="852"/>
    </row>
    <row r="26" spans="1:15" ht="28.2" x14ac:dyDescent="0.3">
      <c r="A26" s="19">
        <v>22</v>
      </c>
      <c r="B26" s="20" t="s">
        <v>130</v>
      </c>
      <c r="C26" s="49">
        <v>6800</v>
      </c>
      <c r="D26" s="19"/>
      <c r="E26" s="19"/>
      <c r="F26" s="19"/>
      <c r="G26" s="19"/>
      <c r="H26" s="19"/>
      <c r="I26" s="19"/>
      <c r="J26" s="19"/>
      <c r="K26" s="54"/>
      <c r="L26" s="54"/>
      <c r="M26" s="17"/>
      <c r="N26" s="852"/>
    </row>
    <row r="27" spans="1:15" ht="28.2" x14ac:dyDescent="0.3">
      <c r="A27" s="19">
        <v>23</v>
      </c>
      <c r="B27" s="20" t="s">
        <v>131</v>
      </c>
      <c r="D27" s="19"/>
      <c r="E27" s="19"/>
      <c r="F27" s="19"/>
      <c r="G27" s="19"/>
      <c r="H27" s="49">
        <v>3000</v>
      </c>
      <c r="I27" s="19"/>
      <c r="J27" s="19"/>
      <c r="K27" s="54"/>
      <c r="L27" s="54"/>
      <c r="M27" s="19"/>
      <c r="N27" s="852"/>
    </row>
    <row r="28" spans="1:15" x14ac:dyDescent="0.3">
      <c r="A28" s="30"/>
      <c r="B28" s="30"/>
      <c r="C28" s="55"/>
      <c r="D28" s="30"/>
      <c r="E28" s="30"/>
      <c r="F28" s="30"/>
      <c r="G28" s="30"/>
      <c r="H28" s="30"/>
      <c r="I28" s="30"/>
      <c r="J28" s="30"/>
      <c r="K28" s="31"/>
      <c r="L28" s="31"/>
      <c r="N28" s="32"/>
    </row>
    <row r="29" spans="1:15" x14ac:dyDescent="0.3">
      <c r="A29" s="30"/>
      <c r="B29" s="30"/>
      <c r="C29" s="55"/>
      <c r="D29" s="30"/>
      <c r="E29" s="30"/>
      <c r="F29" s="30"/>
      <c r="G29" s="30"/>
      <c r="H29" s="30"/>
      <c r="I29" s="30"/>
      <c r="J29" s="30"/>
      <c r="K29" s="30"/>
      <c r="L29" s="31"/>
      <c r="M29" s="31"/>
      <c r="N29" s="30"/>
      <c r="O29" s="32"/>
    </row>
    <row r="30" spans="1:15" ht="15" thickBot="1" x14ac:dyDescent="0.35">
      <c r="A30" t="s">
        <v>36</v>
      </c>
      <c r="B30" s="56"/>
      <c r="D30" s="56"/>
      <c r="K30" s="1"/>
      <c r="L30" s="1"/>
      <c r="M30" s="1"/>
      <c r="N30" s="57"/>
    </row>
    <row r="31" spans="1:15" ht="42" thickBot="1" x14ac:dyDescent="0.35">
      <c r="A31" s="872" t="s">
        <v>37</v>
      </c>
      <c r="B31" s="873"/>
      <c r="C31" s="873"/>
      <c r="D31" s="873"/>
      <c r="E31" s="873"/>
      <c r="F31" s="873"/>
      <c r="G31" s="873"/>
      <c r="H31" s="873"/>
      <c r="I31" s="873"/>
      <c r="J31" s="874"/>
      <c r="K31" s="2"/>
      <c r="L31" s="3" t="s">
        <v>38</v>
      </c>
      <c r="M31" s="4"/>
      <c r="N31" s="5"/>
      <c r="O31" s="6" t="s">
        <v>39</v>
      </c>
    </row>
    <row r="32" spans="1:15" ht="83.4" thickBot="1" x14ac:dyDescent="0.35">
      <c r="A32" s="65"/>
      <c r="B32" s="66" t="s">
        <v>40</v>
      </c>
      <c r="C32" s="875" t="s">
        <v>41</v>
      </c>
      <c r="D32" s="876"/>
      <c r="E32" s="877" t="s">
        <v>42</v>
      </c>
      <c r="F32" s="878"/>
      <c r="G32" s="875" t="s">
        <v>43</v>
      </c>
      <c r="H32" s="876"/>
      <c r="I32" s="67" t="s">
        <v>2285</v>
      </c>
      <c r="J32" s="68" t="s">
        <v>133</v>
      </c>
      <c r="K32" s="6" t="s">
        <v>44</v>
      </c>
      <c r="L32" s="8" t="s">
        <v>45</v>
      </c>
      <c r="M32" s="7" t="s">
        <v>46</v>
      </c>
      <c r="N32" s="7" t="s">
        <v>47</v>
      </c>
      <c r="O32" s="6" t="s">
        <v>39</v>
      </c>
    </row>
    <row r="33" spans="1:15" x14ac:dyDescent="0.3">
      <c r="A33" s="9"/>
      <c r="B33" s="10"/>
      <c r="C33" s="11" t="s">
        <v>48</v>
      </c>
      <c r="D33" s="12" t="s">
        <v>49</v>
      </c>
      <c r="E33" s="13" t="s">
        <v>48</v>
      </c>
      <c r="F33" s="13" t="s">
        <v>49</v>
      </c>
      <c r="G33" s="12" t="s">
        <v>48</v>
      </c>
      <c r="H33" s="12" t="s">
        <v>49</v>
      </c>
      <c r="I33" s="14"/>
      <c r="J33" s="17"/>
      <c r="K33" s="69"/>
      <c r="L33" s="12"/>
      <c r="M33" s="12"/>
      <c r="N33" s="15"/>
      <c r="O33" s="16"/>
    </row>
    <row r="34" spans="1:15" ht="28.2" x14ac:dyDescent="0.3">
      <c r="A34" s="44">
        <v>1</v>
      </c>
      <c r="B34" s="45" t="s">
        <v>22</v>
      </c>
      <c r="C34" s="53">
        <v>10000</v>
      </c>
      <c r="D34" s="70">
        <v>5000</v>
      </c>
      <c r="E34" s="16">
        <v>5000</v>
      </c>
      <c r="F34" s="70">
        <v>3000</v>
      </c>
      <c r="G34" s="16">
        <v>25000</v>
      </c>
      <c r="H34" s="70">
        <v>5000</v>
      </c>
      <c r="I34" s="71">
        <v>3000</v>
      </c>
      <c r="J34" s="17"/>
      <c r="K34" s="72">
        <v>5000</v>
      </c>
      <c r="L34" s="16"/>
      <c r="M34" s="16"/>
      <c r="N34" s="16"/>
      <c r="O34" s="16">
        <v>2000</v>
      </c>
    </row>
    <row r="35" spans="1:15" x14ac:dyDescent="0.3">
      <c r="A35" s="19">
        <v>2</v>
      </c>
      <c r="B35" s="20" t="s">
        <v>23</v>
      </c>
      <c r="C35" s="48"/>
      <c r="D35" s="17"/>
      <c r="E35" s="17"/>
      <c r="F35" s="17"/>
      <c r="G35" s="17"/>
      <c r="H35" s="17"/>
      <c r="I35" s="73">
        <v>3000</v>
      </c>
      <c r="J35" s="17"/>
      <c r="K35" s="74"/>
      <c r="L35" s="17"/>
      <c r="M35" s="17"/>
      <c r="N35" s="17"/>
      <c r="O35" s="18"/>
    </row>
    <row r="36" spans="1:15" ht="28.2" x14ac:dyDescent="0.3">
      <c r="A36" s="51">
        <v>3</v>
      </c>
      <c r="B36" s="52" t="s">
        <v>24</v>
      </c>
      <c r="C36" s="53"/>
      <c r="D36" s="17"/>
      <c r="E36" s="17"/>
      <c r="F36" s="17"/>
      <c r="G36" s="17"/>
      <c r="H36" s="17"/>
      <c r="I36" s="73">
        <v>2000</v>
      </c>
      <c r="J36" s="17"/>
      <c r="K36" s="75">
        <v>1000</v>
      </c>
      <c r="L36" s="17"/>
      <c r="M36" s="17"/>
      <c r="N36" s="17"/>
      <c r="O36" s="18">
        <v>2000</v>
      </c>
    </row>
    <row r="37" spans="1:15" ht="28.2" x14ac:dyDescent="0.3">
      <c r="A37" s="51">
        <v>4</v>
      </c>
      <c r="B37" s="52" t="s">
        <v>25</v>
      </c>
      <c r="C37" s="53"/>
      <c r="D37" s="17"/>
      <c r="E37" s="17"/>
      <c r="F37" s="17"/>
      <c r="G37" s="18">
        <v>5000</v>
      </c>
      <c r="H37" s="17"/>
      <c r="I37" s="73">
        <v>2000</v>
      </c>
      <c r="J37" s="17"/>
      <c r="K37" s="74"/>
      <c r="L37" s="17"/>
      <c r="M37" s="17"/>
      <c r="N37" s="17"/>
      <c r="O37" s="18"/>
    </row>
    <row r="38" spans="1:15" ht="28.2" x14ac:dyDescent="0.3">
      <c r="A38" s="19">
        <v>5</v>
      </c>
      <c r="B38" s="20" t="s">
        <v>26</v>
      </c>
      <c r="C38" s="48"/>
      <c r="D38" s="17"/>
      <c r="E38" s="17"/>
      <c r="F38" s="17"/>
      <c r="G38" s="18">
        <v>15000</v>
      </c>
      <c r="H38" s="17"/>
      <c r="I38" s="73">
        <v>2000</v>
      </c>
      <c r="J38" s="17"/>
      <c r="K38" s="74"/>
      <c r="L38" s="17"/>
      <c r="M38" s="17"/>
      <c r="N38" s="17"/>
      <c r="O38" s="18"/>
    </row>
    <row r="39" spans="1:15" x14ac:dyDescent="0.3">
      <c r="A39" s="19">
        <v>6</v>
      </c>
      <c r="B39" s="19" t="s">
        <v>27</v>
      </c>
      <c r="C39" s="48"/>
      <c r="D39" s="17"/>
      <c r="E39" s="17"/>
      <c r="F39" s="17"/>
      <c r="G39" s="17"/>
      <c r="H39" s="17"/>
      <c r="I39" s="73">
        <v>2000</v>
      </c>
      <c r="J39" s="17"/>
      <c r="K39" s="74"/>
      <c r="L39" s="17"/>
      <c r="M39" s="17"/>
      <c r="N39" s="17"/>
      <c r="O39" s="18"/>
    </row>
    <row r="40" spans="1:15" x14ac:dyDescent="0.3">
      <c r="A40" s="19">
        <v>7</v>
      </c>
      <c r="B40" s="19" t="s">
        <v>28</v>
      </c>
      <c r="C40" s="48"/>
      <c r="D40" s="17"/>
      <c r="E40" s="17"/>
      <c r="F40" s="17"/>
      <c r="G40" s="18">
        <v>3000</v>
      </c>
      <c r="H40" s="17"/>
      <c r="I40" s="73">
        <v>2000</v>
      </c>
      <c r="J40" s="17"/>
      <c r="K40" s="74"/>
      <c r="L40" s="17"/>
      <c r="M40" s="17"/>
      <c r="N40" s="17"/>
      <c r="O40" s="18"/>
    </row>
    <row r="41" spans="1:15" ht="28.2" x14ac:dyDescent="0.3">
      <c r="A41" s="19">
        <v>8</v>
      </c>
      <c r="B41" s="20" t="s">
        <v>29</v>
      </c>
      <c r="C41" s="48"/>
      <c r="D41" s="17"/>
      <c r="E41" s="17"/>
      <c r="F41" s="17"/>
      <c r="G41" s="18">
        <v>3000</v>
      </c>
      <c r="H41" s="17"/>
      <c r="I41" s="73">
        <v>2000</v>
      </c>
      <c r="J41" s="17"/>
      <c r="K41" s="74"/>
      <c r="L41" s="17"/>
      <c r="M41" s="17"/>
      <c r="N41" s="17"/>
      <c r="O41" s="18"/>
    </row>
    <row r="42" spans="1:15" ht="28.2" x14ac:dyDescent="0.3">
      <c r="A42" s="19">
        <v>9</v>
      </c>
      <c r="B42" s="20" t="s">
        <v>134</v>
      </c>
      <c r="C42" s="48"/>
      <c r="D42" s="17"/>
      <c r="E42" s="17"/>
      <c r="F42" s="17"/>
      <c r="G42" s="18">
        <v>3000</v>
      </c>
      <c r="H42" s="17"/>
      <c r="I42" s="73">
        <v>2000</v>
      </c>
      <c r="J42" s="17"/>
      <c r="K42" s="74"/>
      <c r="L42" s="17"/>
      <c r="M42" s="17"/>
      <c r="N42" s="17"/>
      <c r="O42" s="18"/>
    </row>
    <row r="43" spans="1:15" x14ac:dyDescent="0.3">
      <c r="A43" s="19">
        <v>10</v>
      </c>
      <c r="B43" s="20" t="s">
        <v>30</v>
      </c>
      <c r="C43" s="48"/>
      <c r="D43" s="17"/>
      <c r="E43" s="17"/>
      <c r="F43" s="17"/>
      <c r="G43" s="18">
        <v>2000</v>
      </c>
      <c r="H43" s="17"/>
      <c r="I43" s="73">
        <v>2000</v>
      </c>
      <c r="J43" s="17"/>
      <c r="K43" s="74"/>
      <c r="L43" s="17"/>
      <c r="M43" s="17"/>
      <c r="N43" s="17"/>
      <c r="O43" s="18"/>
    </row>
    <row r="44" spans="1:15" ht="28.2" x14ac:dyDescent="0.3">
      <c r="A44" s="19">
        <v>11</v>
      </c>
      <c r="B44" s="20" t="s">
        <v>31</v>
      </c>
      <c r="C44" s="49"/>
      <c r="D44" s="17"/>
      <c r="E44" s="17"/>
      <c r="F44" s="17"/>
      <c r="G44" s="18">
        <v>2000</v>
      </c>
      <c r="H44" s="17"/>
      <c r="I44" s="73">
        <v>2000</v>
      </c>
      <c r="J44" s="17"/>
      <c r="K44" s="74"/>
      <c r="L44" s="17"/>
      <c r="M44" s="17"/>
      <c r="N44" s="17"/>
      <c r="O44" s="18"/>
    </row>
    <row r="45" spans="1:15" x14ac:dyDescent="0.3">
      <c r="A45" s="19">
        <v>12</v>
      </c>
      <c r="B45" s="20" t="s">
        <v>32</v>
      </c>
      <c r="C45" s="49"/>
      <c r="D45" s="17"/>
      <c r="E45" s="17"/>
      <c r="F45" s="17"/>
      <c r="G45" s="18">
        <v>2000</v>
      </c>
      <c r="H45" s="17"/>
      <c r="I45" s="73">
        <v>2000</v>
      </c>
      <c r="J45" s="17"/>
      <c r="K45" s="74"/>
      <c r="L45" s="17"/>
      <c r="M45" s="17"/>
      <c r="N45" s="17"/>
      <c r="O45" s="18"/>
    </row>
    <row r="46" spans="1:15" x14ac:dyDescent="0.3">
      <c r="A46" s="19">
        <v>13</v>
      </c>
      <c r="B46" s="19" t="s">
        <v>33</v>
      </c>
      <c r="C46" s="49"/>
      <c r="D46" s="17"/>
      <c r="E46" s="17"/>
      <c r="F46" s="17"/>
      <c r="G46" s="18">
        <v>3000</v>
      </c>
      <c r="H46" s="17"/>
      <c r="I46" s="73">
        <v>2000</v>
      </c>
      <c r="J46" s="17"/>
      <c r="K46" s="74"/>
      <c r="L46" s="17"/>
      <c r="M46" s="17"/>
      <c r="N46" s="17"/>
      <c r="O46" s="18"/>
    </row>
    <row r="47" spans="1:15" x14ac:dyDescent="0.3">
      <c r="A47" s="19">
        <v>14</v>
      </c>
      <c r="B47" s="19" t="s">
        <v>34</v>
      </c>
      <c r="C47" s="49"/>
      <c r="D47" s="17"/>
      <c r="E47" s="17"/>
      <c r="F47" s="17"/>
      <c r="G47" s="18">
        <v>3000</v>
      </c>
      <c r="H47" s="17"/>
      <c r="I47" s="73">
        <v>2000</v>
      </c>
      <c r="J47" s="17"/>
      <c r="K47" s="74"/>
      <c r="L47" s="17"/>
      <c r="M47" s="17"/>
      <c r="N47" s="17"/>
      <c r="O47" s="18"/>
    </row>
    <row r="48" spans="1:15" x14ac:dyDescent="0.3">
      <c r="A48" s="19">
        <v>15</v>
      </c>
      <c r="B48" s="20" t="s">
        <v>35</v>
      </c>
      <c r="C48" s="17"/>
      <c r="D48" s="17"/>
      <c r="E48" s="17"/>
      <c r="F48" s="17"/>
      <c r="G48" s="18">
        <v>3000</v>
      </c>
      <c r="H48" s="17"/>
      <c r="I48" s="73">
        <v>2000</v>
      </c>
      <c r="J48" s="17"/>
      <c r="K48" s="74"/>
      <c r="L48" s="17"/>
      <c r="M48" s="17"/>
      <c r="N48" s="17"/>
      <c r="O48" s="18"/>
    </row>
    <row r="49" spans="1:15" x14ac:dyDescent="0.3">
      <c r="A49" s="19">
        <v>16</v>
      </c>
      <c r="B49" s="19" t="s">
        <v>135</v>
      </c>
      <c r="C49" s="18">
        <v>10000</v>
      </c>
      <c r="D49" s="17"/>
      <c r="E49" s="18">
        <v>10000</v>
      </c>
      <c r="F49" s="17"/>
      <c r="G49" s="18">
        <v>10000</v>
      </c>
      <c r="H49" s="17"/>
      <c r="I49" s="73">
        <v>5000</v>
      </c>
      <c r="J49" s="17"/>
      <c r="K49" s="74"/>
      <c r="L49" s="17"/>
      <c r="M49" s="17"/>
      <c r="N49" s="17"/>
      <c r="O49" s="18"/>
    </row>
    <row r="50" spans="1:15" ht="42" x14ac:dyDescent="0.3">
      <c r="A50" s="19">
        <v>17</v>
      </c>
      <c r="B50" s="20" t="s">
        <v>124</v>
      </c>
      <c r="C50" s="49"/>
      <c r="D50" s="19"/>
      <c r="E50" s="19"/>
      <c r="F50" s="19"/>
      <c r="G50" s="49">
        <v>3000</v>
      </c>
      <c r="H50" s="19"/>
      <c r="I50" s="73">
        <v>2000</v>
      </c>
      <c r="J50" s="17"/>
      <c r="K50" s="76"/>
      <c r="L50" s="54"/>
      <c r="M50" s="54"/>
      <c r="N50" s="17"/>
      <c r="O50" s="18"/>
    </row>
    <row r="51" spans="1:15" ht="28.2" x14ac:dyDescent="0.3">
      <c r="A51" s="19">
        <v>18</v>
      </c>
      <c r="B51" s="20" t="s">
        <v>125</v>
      </c>
      <c r="C51" s="49"/>
      <c r="D51" s="19"/>
      <c r="E51" s="19"/>
      <c r="F51" s="19"/>
      <c r="G51" s="49">
        <v>3000</v>
      </c>
      <c r="H51" s="19"/>
      <c r="I51" s="73">
        <v>2000</v>
      </c>
      <c r="J51" s="17"/>
      <c r="K51" s="76"/>
      <c r="L51" s="54"/>
      <c r="M51" s="54"/>
      <c r="N51" s="17"/>
      <c r="O51" s="18"/>
    </row>
    <row r="52" spans="1:15" ht="42" x14ac:dyDescent="0.3">
      <c r="A52" s="19">
        <v>19</v>
      </c>
      <c r="B52" s="20" t="s">
        <v>126</v>
      </c>
      <c r="C52" s="49"/>
      <c r="D52" s="19" t="s">
        <v>127</v>
      </c>
      <c r="E52" s="19"/>
      <c r="F52" s="19"/>
      <c r="G52" s="49">
        <v>3000</v>
      </c>
      <c r="H52" s="19"/>
      <c r="I52" s="73">
        <v>2000</v>
      </c>
      <c r="J52" s="17"/>
      <c r="K52" s="76"/>
      <c r="L52" s="54"/>
      <c r="M52" s="54"/>
      <c r="N52" s="17"/>
      <c r="O52" s="18"/>
    </row>
    <row r="53" spans="1:15" ht="42" x14ac:dyDescent="0.3">
      <c r="A53" s="19">
        <v>20</v>
      </c>
      <c r="B53" s="20" t="s">
        <v>128</v>
      </c>
      <c r="C53" s="49"/>
      <c r="D53" s="19"/>
      <c r="E53" s="19"/>
      <c r="F53" s="19"/>
      <c r="G53" s="49">
        <v>3000</v>
      </c>
      <c r="H53" s="19"/>
      <c r="I53" s="73">
        <v>2000</v>
      </c>
      <c r="J53" s="17"/>
      <c r="K53" s="76"/>
      <c r="L53" s="54"/>
      <c r="M53" s="54"/>
      <c r="N53" s="17"/>
      <c r="O53" s="18"/>
    </row>
    <row r="54" spans="1:15" ht="42" x14ac:dyDescent="0.3">
      <c r="A54" s="19">
        <v>21</v>
      </c>
      <c r="B54" s="20" t="s">
        <v>129</v>
      </c>
      <c r="C54" s="49"/>
      <c r="D54" s="19"/>
      <c r="E54" s="19"/>
      <c r="F54" s="19"/>
      <c r="G54" s="49">
        <v>3000</v>
      </c>
      <c r="H54" s="19"/>
      <c r="I54" s="73">
        <v>2000</v>
      </c>
      <c r="J54" s="17"/>
      <c r="K54" s="76"/>
      <c r="L54" s="54"/>
      <c r="M54" s="54"/>
      <c r="N54" s="17"/>
      <c r="O54" s="18"/>
    </row>
    <row r="55" spans="1:15" ht="28.2" x14ac:dyDescent="0.3">
      <c r="A55" s="19">
        <v>22</v>
      </c>
      <c r="B55" s="20" t="s">
        <v>130</v>
      </c>
      <c r="C55" s="49"/>
      <c r="D55" s="19"/>
      <c r="E55" s="19"/>
      <c r="F55" s="19"/>
      <c r="G55" s="49"/>
      <c r="H55" s="19"/>
      <c r="I55" s="73">
        <v>2000</v>
      </c>
      <c r="J55" s="17"/>
      <c r="K55" s="76"/>
      <c r="L55" s="54"/>
      <c r="M55" s="54"/>
      <c r="N55" s="17"/>
      <c r="O55" s="17"/>
    </row>
    <row r="56" spans="1:15" ht="28.2" x14ac:dyDescent="0.3">
      <c r="A56" s="19">
        <v>23</v>
      </c>
      <c r="B56" s="20" t="s">
        <v>131</v>
      </c>
      <c r="C56" s="19"/>
      <c r="D56" s="19"/>
      <c r="E56" s="19"/>
      <c r="F56" s="19"/>
      <c r="G56" s="19"/>
      <c r="H56" s="19"/>
      <c r="I56" s="77">
        <v>3000</v>
      </c>
      <c r="J56" s="18">
        <v>3000</v>
      </c>
      <c r="K56" s="76"/>
      <c r="L56" s="54"/>
      <c r="M56" s="54"/>
      <c r="N56" s="19"/>
      <c r="O56" s="17"/>
    </row>
  </sheetData>
  <mergeCells count="6">
    <mergeCell ref="B3:B4"/>
    <mergeCell ref="I5:J5"/>
    <mergeCell ref="A31:J31"/>
    <mergeCell ref="C32:D32"/>
    <mergeCell ref="E32:F32"/>
    <mergeCell ref="G32:H32"/>
  </mergeCells>
  <pageMargins left="0.25" right="0.22" top="0.74803149606299213" bottom="0.74803149606299213" header="0.31496062992125984" footer="0.31496062992125984"/>
  <pageSetup paperSize="9" scale="4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02345-0AF2-48B4-9A7B-7B0360A2D033}">
  <dimension ref="A1:T47"/>
  <sheetViews>
    <sheetView workbookViewId="0">
      <pane ySplit="5" topLeftCell="A6" activePane="bottomLeft" state="frozen"/>
      <selection activeCell="J14" sqref="J14"/>
      <selection pane="bottomLeft" activeCell="A15" sqref="A15:XFD15"/>
    </sheetView>
  </sheetViews>
  <sheetFormatPr defaultRowHeight="14.4" x14ac:dyDescent="0.3"/>
  <cols>
    <col min="2" max="2" width="12.88671875" customWidth="1"/>
    <col min="3" max="3" width="13" customWidth="1"/>
    <col min="4" max="4" width="20.5546875" bestFit="1" customWidth="1"/>
    <col min="5" max="5" width="18" customWidth="1"/>
    <col min="6" max="6" width="4.44140625" customWidth="1"/>
    <col min="7" max="7" width="6" customWidth="1"/>
    <col min="8" max="8" width="6.109375" customWidth="1"/>
    <col min="10" max="10" width="10.109375" bestFit="1" customWidth="1"/>
    <col min="11" max="11" width="7.109375" customWidth="1"/>
    <col min="12" max="12" width="4.109375" customWidth="1"/>
    <col min="13" max="13" width="4.44140625" customWidth="1"/>
    <col min="14" max="14" width="5.109375" customWidth="1"/>
    <col min="16" max="16" width="14.44140625" customWidth="1"/>
    <col min="17" max="17" width="12.44140625" customWidth="1"/>
  </cols>
  <sheetData>
    <row r="1" spans="1:20" x14ac:dyDescent="0.3">
      <c r="A1" s="21" t="s">
        <v>240</v>
      </c>
    </row>
    <row r="5" spans="1:20" ht="57.6" x14ac:dyDescent="0.3">
      <c r="A5" s="17" t="s">
        <v>137</v>
      </c>
      <c r="B5" s="23" t="s">
        <v>138</v>
      </c>
      <c r="C5" s="23" t="s">
        <v>139</v>
      </c>
      <c r="D5" s="23" t="s">
        <v>140</v>
      </c>
      <c r="E5" s="23" t="s">
        <v>141</v>
      </c>
      <c r="F5" s="23" t="s">
        <v>142</v>
      </c>
      <c r="G5" s="23" t="s">
        <v>143</v>
      </c>
      <c r="H5" s="23" t="s">
        <v>144</v>
      </c>
      <c r="I5" s="23" t="s">
        <v>145</v>
      </c>
      <c r="J5" s="23" t="s">
        <v>241</v>
      </c>
      <c r="K5" s="23" t="s">
        <v>147</v>
      </c>
      <c r="L5" s="23" t="s">
        <v>148</v>
      </c>
      <c r="M5" s="23" t="s">
        <v>149</v>
      </c>
      <c r="N5" s="23" t="s">
        <v>150</v>
      </c>
      <c r="O5" s="23" t="s">
        <v>151</v>
      </c>
      <c r="P5" s="23" t="s">
        <v>152</v>
      </c>
      <c r="Q5" s="23" t="s">
        <v>242</v>
      </c>
      <c r="R5" s="23" t="s">
        <v>153</v>
      </c>
      <c r="S5" s="23" t="s">
        <v>154</v>
      </c>
      <c r="T5" s="23" t="s">
        <v>221</v>
      </c>
    </row>
    <row r="6" spans="1:20" ht="72" x14ac:dyDescent="0.3">
      <c r="A6" s="17">
        <v>1</v>
      </c>
      <c r="B6" s="17" t="s">
        <v>243</v>
      </c>
      <c r="C6" s="23" t="s">
        <v>244</v>
      </c>
      <c r="D6" s="17" t="s">
        <v>245</v>
      </c>
      <c r="E6" s="23" t="s">
        <v>246</v>
      </c>
      <c r="F6" s="17">
        <v>210</v>
      </c>
      <c r="G6" s="17">
        <v>6374</v>
      </c>
      <c r="H6" s="17">
        <v>7</v>
      </c>
      <c r="I6" s="17"/>
      <c r="J6" s="18">
        <v>462220</v>
      </c>
      <c r="K6" s="17">
        <v>2015</v>
      </c>
      <c r="L6" s="17" t="s">
        <v>159</v>
      </c>
      <c r="M6" s="17" t="s">
        <v>159</v>
      </c>
      <c r="N6" s="17" t="s">
        <v>159</v>
      </c>
      <c r="O6" s="80">
        <v>0</v>
      </c>
      <c r="P6" s="23" t="s">
        <v>247</v>
      </c>
      <c r="Q6" s="18">
        <v>462220</v>
      </c>
      <c r="R6" s="17" t="s">
        <v>160</v>
      </c>
      <c r="S6" s="17" t="s">
        <v>159</v>
      </c>
      <c r="T6" s="17" t="s">
        <v>160</v>
      </c>
    </row>
    <row r="7" spans="1:20" ht="72" x14ac:dyDescent="0.3">
      <c r="A7" s="17">
        <v>2</v>
      </c>
      <c r="B7" s="17" t="s">
        <v>248</v>
      </c>
      <c r="C7" s="23" t="s">
        <v>2346</v>
      </c>
      <c r="D7" s="17" t="s">
        <v>249</v>
      </c>
      <c r="E7" s="23" t="s">
        <v>250</v>
      </c>
      <c r="F7" s="17">
        <v>130</v>
      </c>
      <c r="G7" s="17">
        <v>3000</v>
      </c>
      <c r="H7" s="17">
        <v>9</v>
      </c>
      <c r="I7" s="17"/>
      <c r="J7" s="18">
        <v>48281</v>
      </c>
      <c r="K7" s="17">
        <v>2013</v>
      </c>
      <c r="L7" s="17" t="s">
        <v>159</v>
      </c>
      <c r="M7" s="17" t="s">
        <v>159</v>
      </c>
      <c r="N7" s="17" t="s">
        <v>159</v>
      </c>
      <c r="O7" s="80">
        <v>0</v>
      </c>
      <c r="P7" s="23" t="s">
        <v>160</v>
      </c>
      <c r="Q7" s="23" t="s">
        <v>160</v>
      </c>
      <c r="R7" s="17" t="s">
        <v>160</v>
      </c>
      <c r="S7" s="17" t="s">
        <v>159</v>
      </c>
      <c r="T7" s="17" t="s">
        <v>160</v>
      </c>
    </row>
    <row r="8" spans="1:20" ht="57.6" x14ac:dyDescent="0.3">
      <c r="A8" s="17">
        <v>3</v>
      </c>
      <c r="B8" s="17" t="s">
        <v>251</v>
      </c>
      <c r="C8" s="23" t="s">
        <v>2347</v>
      </c>
      <c r="D8" s="17" t="s">
        <v>253</v>
      </c>
      <c r="E8" s="23" t="s">
        <v>254</v>
      </c>
      <c r="F8" s="17">
        <v>130</v>
      </c>
      <c r="G8" s="17">
        <v>3000</v>
      </c>
      <c r="H8" s="17">
        <v>3</v>
      </c>
      <c r="I8" s="17">
        <v>1090</v>
      </c>
      <c r="J8" s="18">
        <v>37240</v>
      </c>
      <c r="K8" s="17">
        <v>2012</v>
      </c>
      <c r="L8" s="17" t="s">
        <v>159</v>
      </c>
      <c r="M8" s="17" t="s">
        <v>159</v>
      </c>
      <c r="N8" s="17" t="s">
        <v>159</v>
      </c>
      <c r="O8" s="80">
        <v>0</v>
      </c>
      <c r="P8" s="17" t="s">
        <v>160</v>
      </c>
      <c r="Q8" s="17" t="s">
        <v>160</v>
      </c>
      <c r="R8" s="17" t="s">
        <v>160</v>
      </c>
      <c r="S8" s="17" t="s">
        <v>159</v>
      </c>
      <c r="T8" s="17" t="s">
        <v>160</v>
      </c>
    </row>
    <row r="9" spans="1:20" ht="28.8" x14ac:dyDescent="0.3">
      <c r="A9" s="17">
        <v>4</v>
      </c>
      <c r="B9" s="17" t="s">
        <v>255</v>
      </c>
      <c r="C9" s="23" t="s">
        <v>256</v>
      </c>
      <c r="D9" s="17" t="s">
        <v>257</v>
      </c>
      <c r="E9" s="23" t="s">
        <v>258</v>
      </c>
      <c r="F9" s="17">
        <v>81</v>
      </c>
      <c r="G9" s="17">
        <v>2500</v>
      </c>
      <c r="H9" s="17">
        <v>5</v>
      </c>
      <c r="I9" s="17"/>
      <c r="J9" s="18">
        <v>18140</v>
      </c>
      <c r="K9" s="17">
        <v>2009</v>
      </c>
      <c r="L9" s="17" t="s">
        <v>159</v>
      </c>
      <c r="M9" s="17" t="s">
        <v>159</v>
      </c>
      <c r="N9" s="17" t="s">
        <v>159</v>
      </c>
      <c r="O9" s="80">
        <v>0</v>
      </c>
      <c r="P9" s="17" t="s">
        <v>160</v>
      </c>
      <c r="Q9" s="17" t="s">
        <v>160</v>
      </c>
      <c r="R9" s="17" t="s">
        <v>160</v>
      </c>
      <c r="S9" s="17" t="s">
        <v>159</v>
      </c>
      <c r="T9" s="17" t="s">
        <v>160</v>
      </c>
    </row>
    <row r="10" spans="1:20" ht="43.2" x14ac:dyDescent="0.3">
      <c r="A10" s="17">
        <v>5</v>
      </c>
      <c r="B10" s="17" t="s">
        <v>259</v>
      </c>
      <c r="C10" s="23" t="s">
        <v>256</v>
      </c>
      <c r="D10" s="17" t="s">
        <v>260</v>
      </c>
      <c r="E10" s="23" t="s">
        <v>261</v>
      </c>
      <c r="F10" s="17"/>
      <c r="G10" s="17"/>
      <c r="H10" s="17">
        <v>9</v>
      </c>
      <c r="I10" s="17"/>
      <c r="J10" s="18">
        <v>18738</v>
      </c>
      <c r="K10" s="17">
        <v>1994</v>
      </c>
      <c r="L10" s="17" t="s">
        <v>159</v>
      </c>
      <c r="M10" s="17" t="s">
        <v>159</v>
      </c>
      <c r="N10" s="17" t="s">
        <v>159</v>
      </c>
      <c r="O10" s="80">
        <v>0</v>
      </c>
      <c r="P10" s="17" t="s">
        <v>160</v>
      </c>
      <c r="Q10" s="17" t="s">
        <v>160</v>
      </c>
      <c r="R10" s="17" t="s">
        <v>160</v>
      </c>
      <c r="S10" s="17" t="s">
        <v>159</v>
      </c>
      <c r="T10" s="17" t="s">
        <v>160</v>
      </c>
    </row>
    <row r="11" spans="1:20" ht="28.8" x14ac:dyDescent="0.3">
      <c r="A11" s="17">
        <v>6</v>
      </c>
      <c r="B11" s="17" t="s">
        <v>262</v>
      </c>
      <c r="C11" s="23" t="s">
        <v>263</v>
      </c>
      <c r="D11" s="17" t="s">
        <v>264</v>
      </c>
      <c r="E11" s="23" t="s">
        <v>265</v>
      </c>
      <c r="F11" s="17"/>
      <c r="G11" s="17"/>
      <c r="H11" s="17">
        <v>0</v>
      </c>
      <c r="I11" s="17">
        <v>830</v>
      </c>
      <c r="J11" s="18">
        <v>2000</v>
      </c>
      <c r="K11" s="17">
        <v>1991</v>
      </c>
      <c r="L11" s="17" t="s">
        <v>159</v>
      </c>
      <c r="M11" s="17"/>
      <c r="N11" s="17" t="s">
        <v>159</v>
      </c>
      <c r="O11" s="80">
        <v>0</v>
      </c>
      <c r="P11" s="17" t="s">
        <v>160</v>
      </c>
      <c r="Q11" s="17" t="s">
        <v>160</v>
      </c>
      <c r="R11" s="17" t="s">
        <v>160</v>
      </c>
      <c r="S11" s="17" t="s">
        <v>160</v>
      </c>
      <c r="T11" s="17" t="s">
        <v>160</v>
      </c>
    </row>
    <row r="12" spans="1:20" ht="28.8" x14ac:dyDescent="0.3">
      <c r="A12" s="17">
        <v>7</v>
      </c>
      <c r="B12" s="17"/>
      <c r="C12" s="23" t="s">
        <v>263</v>
      </c>
      <c r="D12" s="17" t="s">
        <v>266</v>
      </c>
      <c r="E12" s="23" t="s">
        <v>267</v>
      </c>
      <c r="F12" s="17">
        <v>210</v>
      </c>
      <c r="G12" s="17"/>
      <c r="H12" s="17">
        <v>0</v>
      </c>
      <c r="I12" s="17">
        <v>920</v>
      </c>
      <c r="J12" s="18">
        <v>4200</v>
      </c>
      <c r="K12" s="17">
        <v>2014</v>
      </c>
      <c r="L12" s="17" t="s">
        <v>159</v>
      </c>
      <c r="M12" s="17" t="s">
        <v>160</v>
      </c>
      <c r="N12" s="17" t="s">
        <v>160</v>
      </c>
      <c r="O12" s="80">
        <v>0</v>
      </c>
      <c r="P12" s="17" t="s">
        <v>160</v>
      </c>
      <c r="Q12" s="17" t="s">
        <v>160</v>
      </c>
      <c r="R12" s="17" t="s">
        <v>160</v>
      </c>
      <c r="S12" s="17" t="s">
        <v>160</v>
      </c>
      <c r="T12" s="17" t="s">
        <v>160</v>
      </c>
    </row>
    <row r="13" spans="1:20" ht="43.2" x14ac:dyDescent="0.3">
      <c r="A13" s="17">
        <v>8</v>
      </c>
      <c r="B13" s="17" t="s">
        <v>268</v>
      </c>
      <c r="C13" s="23" t="s">
        <v>244</v>
      </c>
      <c r="D13" s="17" t="s">
        <v>269</v>
      </c>
      <c r="E13" s="23" t="s">
        <v>270</v>
      </c>
      <c r="F13" s="17">
        <v>205</v>
      </c>
      <c r="G13" s="17">
        <v>6374</v>
      </c>
      <c r="H13" s="17">
        <v>3</v>
      </c>
      <c r="I13" s="17"/>
      <c r="J13" s="18">
        <v>564000</v>
      </c>
      <c r="K13" s="17">
        <v>2008</v>
      </c>
      <c r="L13" s="17" t="s">
        <v>159</v>
      </c>
      <c r="M13" s="17" t="s">
        <v>159</v>
      </c>
      <c r="N13" s="17" t="s">
        <v>159</v>
      </c>
      <c r="O13" s="80">
        <v>0</v>
      </c>
      <c r="P13" s="17" t="s">
        <v>160</v>
      </c>
      <c r="Q13" s="125">
        <v>564000</v>
      </c>
      <c r="R13" s="17" t="s">
        <v>160</v>
      </c>
      <c r="S13" s="17" t="s">
        <v>159</v>
      </c>
      <c r="T13" s="17" t="s">
        <v>160</v>
      </c>
    </row>
    <row r="14" spans="1:20" ht="28.8" x14ac:dyDescent="0.3">
      <c r="A14" s="17">
        <v>9</v>
      </c>
      <c r="B14" s="17" t="s">
        <v>271</v>
      </c>
      <c r="C14" s="23" t="s">
        <v>244</v>
      </c>
      <c r="D14" s="17" t="s">
        <v>272</v>
      </c>
      <c r="E14" s="23" t="s">
        <v>273</v>
      </c>
      <c r="F14" s="17">
        <v>205</v>
      </c>
      <c r="G14" s="17">
        <v>6374</v>
      </c>
      <c r="H14" s="17">
        <v>3</v>
      </c>
      <c r="I14" s="17"/>
      <c r="J14" s="18">
        <v>131000</v>
      </c>
      <c r="K14" s="17">
        <v>2003</v>
      </c>
      <c r="L14" s="17" t="s">
        <v>159</v>
      </c>
      <c r="M14" s="17" t="s">
        <v>159</v>
      </c>
      <c r="N14" s="17" t="s">
        <v>159</v>
      </c>
      <c r="O14" s="80">
        <v>0</v>
      </c>
      <c r="P14" s="17" t="s">
        <v>160</v>
      </c>
      <c r="Q14" s="17" t="s">
        <v>160</v>
      </c>
      <c r="R14" s="17" t="s">
        <v>160</v>
      </c>
      <c r="S14" s="17" t="s">
        <v>159</v>
      </c>
      <c r="T14" s="17" t="s">
        <v>160</v>
      </c>
    </row>
    <row r="15" spans="1:20" ht="28.8" x14ac:dyDescent="0.3">
      <c r="A15" s="17">
        <v>10</v>
      </c>
      <c r="B15" s="17" t="s">
        <v>274</v>
      </c>
      <c r="C15" s="23" t="s">
        <v>244</v>
      </c>
      <c r="D15" s="17" t="s">
        <v>275</v>
      </c>
      <c r="E15" s="23" t="s">
        <v>276</v>
      </c>
      <c r="F15" s="17">
        <v>96</v>
      </c>
      <c r="G15" s="17">
        <v>6374</v>
      </c>
      <c r="H15" s="17">
        <v>2</v>
      </c>
      <c r="I15" s="17"/>
      <c r="J15" s="18">
        <v>542000</v>
      </c>
      <c r="K15" s="17">
        <v>2004</v>
      </c>
      <c r="L15" s="17" t="s">
        <v>159</v>
      </c>
      <c r="M15" s="17" t="s">
        <v>159</v>
      </c>
      <c r="N15" s="17" t="s">
        <v>159</v>
      </c>
      <c r="O15" s="80">
        <v>0</v>
      </c>
      <c r="P15" s="17" t="s">
        <v>160</v>
      </c>
      <c r="Q15" s="125">
        <v>542000</v>
      </c>
      <c r="R15" s="17" t="s">
        <v>160</v>
      </c>
      <c r="S15" s="17" t="s">
        <v>159</v>
      </c>
      <c r="T15" s="17" t="s">
        <v>160</v>
      </c>
    </row>
    <row r="16" spans="1:20" ht="28.8" x14ac:dyDescent="0.3">
      <c r="A16" s="17">
        <v>11</v>
      </c>
      <c r="B16" s="17" t="s">
        <v>277</v>
      </c>
      <c r="C16" s="23" t="s">
        <v>244</v>
      </c>
      <c r="D16" s="17" t="s">
        <v>278</v>
      </c>
      <c r="E16" s="23" t="s">
        <v>279</v>
      </c>
      <c r="F16" s="17">
        <v>120</v>
      </c>
      <c r="G16" s="17">
        <v>2999</v>
      </c>
      <c r="H16" s="17">
        <v>5</v>
      </c>
      <c r="I16" s="17"/>
      <c r="J16" s="18">
        <v>38700</v>
      </c>
      <c r="K16" s="17">
        <v>2006</v>
      </c>
      <c r="L16" s="17" t="s">
        <v>159</v>
      </c>
      <c r="M16" s="17" t="s">
        <v>159</v>
      </c>
      <c r="N16" s="17" t="s">
        <v>159</v>
      </c>
      <c r="O16" s="80">
        <v>0</v>
      </c>
      <c r="P16" s="17" t="s">
        <v>160</v>
      </c>
      <c r="Q16" s="125">
        <v>38700</v>
      </c>
      <c r="R16" s="17" t="s">
        <v>160</v>
      </c>
      <c r="S16" s="17" t="s">
        <v>159</v>
      </c>
      <c r="T16" s="17" t="s">
        <v>160</v>
      </c>
    </row>
    <row r="17" spans="1:20" ht="43.2" x14ac:dyDescent="0.3">
      <c r="A17" s="17">
        <v>12</v>
      </c>
      <c r="B17" s="17" t="s">
        <v>280</v>
      </c>
      <c r="C17" s="23" t="s">
        <v>244</v>
      </c>
      <c r="D17" s="17" t="s">
        <v>281</v>
      </c>
      <c r="E17" s="23" t="s">
        <v>282</v>
      </c>
      <c r="F17" s="17">
        <v>67</v>
      </c>
      <c r="G17" s="17">
        <v>2999</v>
      </c>
      <c r="H17" s="17">
        <v>4</v>
      </c>
      <c r="I17" s="17"/>
      <c r="J17" s="18">
        <v>90539</v>
      </c>
      <c r="K17" s="17">
        <v>2007</v>
      </c>
      <c r="L17" s="17" t="s">
        <v>159</v>
      </c>
      <c r="M17" s="17" t="s">
        <v>159</v>
      </c>
      <c r="N17" s="17" t="s">
        <v>159</v>
      </c>
      <c r="O17" s="80">
        <v>0</v>
      </c>
      <c r="P17" s="17" t="s">
        <v>160</v>
      </c>
      <c r="Q17" s="125">
        <v>90539</v>
      </c>
      <c r="R17" s="17" t="s">
        <v>160</v>
      </c>
      <c r="S17" s="17" t="s">
        <v>159</v>
      </c>
      <c r="T17" s="17" t="s">
        <v>160</v>
      </c>
    </row>
    <row r="18" spans="1:20" ht="57.6" x14ac:dyDescent="0.3">
      <c r="A18" s="17">
        <v>13</v>
      </c>
      <c r="B18" s="17" t="s">
        <v>283</v>
      </c>
      <c r="C18" s="23" t="s">
        <v>244</v>
      </c>
      <c r="D18" s="17" t="s">
        <v>284</v>
      </c>
      <c r="E18" s="23" t="s">
        <v>285</v>
      </c>
      <c r="F18" s="17">
        <v>205</v>
      </c>
      <c r="G18" s="17">
        <v>2874</v>
      </c>
      <c r="H18" s="17">
        <v>3</v>
      </c>
      <c r="I18" s="17"/>
      <c r="J18" s="18">
        <v>76156</v>
      </c>
      <c r="K18" s="17">
        <v>1995</v>
      </c>
      <c r="L18" s="17" t="s">
        <v>159</v>
      </c>
      <c r="M18" s="17" t="s">
        <v>159</v>
      </c>
      <c r="N18" s="17" t="s">
        <v>159</v>
      </c>
      <c r="O18" s="80">
        <v>0</v>
      </c>
      <c r="P18" s="17" t="s">
        <v>160</v>
      </c>
      <c r="Q18" s="628">
        <v>76156</v>
      </c>
      <c r="R18" s="17" t="s">
        <v>160</v>
      </c>
      <c r="S18" s="17" t="s">
        <v>159</v>
      </c>
      <c r="T18" s="17" t="s">
        <v>160</v>
      </c>
    </row>
    <row r="19" spans="1:20" ht="28.8" x14ac:dyDescent="0.3">
      <c r="A19" s="17">
        <v>14</v>
      </c>
      <c r="B19" s="17" t="s">
        <v>286</v>
      </c>
      <c r="C19" s="23" t="s">
        <v>244</v>
      </c>
      <c r="D19" s="17" t="s">
        <v>287</v>
      </c>
      <c r="E19" s="23" t="s">
        <v>288</v>
      </c>
      <c r="F19" s="17">
        <v>260</v>
      </c>
      <c r="G19" s="17">
        <v>6374</v>
      </c>
      <c r="H19" s="17">
        <v>6</v>
      </c>
      <c r="I19" s="17"/>
      <c r="J19" s="18">
        <v>372421</v>
      </c>
      <c r="K19" s="17">
        <v>2000</v>
      </c>
      <c r="L19" s="17" t="s">
        <v>159</v>
      </c>
      <c r="M19" s="17" t="s">
        <v>159</v>
      </c>
      <c r="N19" s="17" t="s">
        <v>159</v>
      </c>
      <c r="O19" s="80">
        <v>0</v>
      </c>
      <c r="P19" s="17" t="s">
        <v>160</v>
      </c>
      <c r="Q19" s="632">
        <v>372421</v>
      </c>
      <c r="R19" s="17" t="s">
        <v>160</v>
      </c>
      <c r="S19" s="17" t="s">
        <v>159</v>
      </c>
      <c r="T19" s="17" t="s">
        <v>160</v>
      </c>
    </row>
    <row r="20" spans="1:20" ht="28.8" x14ac:dyDescent="0.3">
      <c r="A20" s="17">
        <v>15</v>
      </c>
      <c r="B20" s="17" t="s">
        <v>289</v>
      </c>
      <c r="C20" s="23" t="s">
        <v>244</v>
      </c>
      <c r="D20" s="17" t="s">
        <v>290</v>
      </c>
      <c r="E20" s="23" t="s">
        <v>291</v>
      </c>
      <c r="F20" s="17">
        <v>210</v>
      </c>
      <c r="G20" s="17">
        <v>11946</v>
      </c>
      <c r="H20" s="17">
        <v>2</v>
      </c>
      <c r="I20" s="17"/>
      <c r="J20" s="18">
        <v>124403</v>
      </c>
      <c r="K20" s="17">
        <v>2002</v>
      </c>
      <c r="L20" s="17" t="s">
        <v>159</v>
      </c>
      <c r="M20" s="17" t="s">
        <v>159</v>
      </c>
      <c r="N20" s="17" t="s">
        <v>159</v>
      </c>
      <c r="O20" s="80">
        <v>0</v>
      </c>
      <c r="P20" s="17" t="s">
        <v>160</v>
      </c>
      <c r="Q20" s="632">
        <v>124403</v>
      </c>
      <c r="R20" s="17" t="s">
        <v>160</v>
      </c>
      <c r="S20" s="17" t="s">
        <v>159</v>
      </c>
      <c r="T20" s="17" t="s">
        <v>160</v>
      </c>
    </row>
    <row r="21" spans="1:20" ht="43.2" x14ac:dyDescent="0.3">
      <c r="A21" s="17">
        <v>16</v>
      </c>
      <c r="B21" s="17" t="s">
        <v>292</v>
      </c>
      <c r="C21" s="23" t="s">
        <v>244</v>
      </c>
      <c r="D21" s="17" t="s">
        <v>293</v>
      </c>
      <c r="E21" s="23" t="s">
        <v>294</v>
      </c>
      <c r="F21" s="17">
        <v>210</v>
      </c>
      <c r="G21" s="17">
        <v>6374</v>
      </c>
      <c r="H21" s="17">
        <v>3</v>
      </c>
      <c r="I21" s="17"/>
      <c r="J21" s="18">
        <v>411739</v>
      </c>
      <c r="K21" s="17">
        <v>2012</v>
      </c>
      <c r="L21" s="17" t="s">
        <v>159</v>
      </c>
      <c r="M21" s="17" t="s">
        <v>159</v>
      </c>
      <c r="N21" s="17" t="s">
        <v>159</v>
      </c>
      <c r="O21" s="80">
        <v>0</v>
      </c>
      <c r="P21" s="17" t="s">
        <v>160</v>
      </c>
      <c r="Q21" s="18">
        <v>411739</v>
      </c>
      <c r="R21" s="17" t="s">
        <v>160</v>
      </c>
      <c r="S21" s="17" t="s">
        <v>159</v>
      </c>
      <c r="T21" s="17" t="s">
        <v>160</v>
      </c>
    </row>
    <row r="22" spans="1:20" ht="28.8" x14ac:dyDescent="0.3">
      <c r="A22" s="17">
        <v>17</v>
      </c>
      <c r="B22" s="17"/>
      <c r="C22" s="23" t="s">
        <v>263</v>
      </c>
      <c r="D22" s="17" t="s">
        <v>295</v>
      </c>
      <c r="E22" s="23" t="s">
        <v>296</v>
      </c>
      <c r="F22" s="17"/>
      <c r="G22" s="17"/>
      <c r="H22" s="17"/>
      <c r="I22" s="17"/>
      <c r="J22" s="18"/>
      <c r="K22" s="17"/>
      <c r="L22" s="17" t="s">
        <v>159</v>
      </c>
      <c r="M22" s="17" t="s">
        <v>160</v>
      </c>
      <c r="N22" s="17" t="s">
        <v>160</v>
      </c>
      <c r="O22" s="80" t="s">
        <v>160</v>
      </c>
      <c r="P22" s="17" t="s">
        <v>160</v>
      </c>
      <c r="Q22" s="125" t="s">
        <v>160</v>
      </c>
      <c r="R22" s="17" t="s">
        <v>160</v>
      </c>
      <c r="S22" s="17" t="s">
        <v>160</v>
      </c>
      <c r="T22" s="17" t="s">
        <v>160</v>
      </c>
    </row>
    <row r="24" spans="1:20" x14ac:dyDescent="0.3">
      <c r="Q24" s="127"/>
    </row>
    <row r="25" spans="1:20" x14ac:dyDescent="0.3">
      <c r="Q25" s="127"/>
    </row>
    <row r="26" spans="1:20" x14ac:dyDescent="0.3">
      <c r="Q26" s="127"/>
    </row>
    <row r="27" spans="1:20" x14ac:dyDescent="0.3">
      <c r="Q27" s="127"/>
    </row>
    <row r="28" spans="1:20" x14ac:dyDescent="0.3">
      <c r="Q28" s="127"/>
    </row>
    <row r="29" spans="1:20" x14ac:dyDescent="0.3">
      <c r="Q29" s="127"/>
    </row>
    <row r="30" spans="1:20" x14ac:dyDescent="0.3">
      <c r="Q30" s="127"/>
    </row>
    <row r="31" spans="1:20" x14ac:dyDescent="0.3">
      <c r="Q31" s="127"/>
    </row>
    <row r="32" spans="1:20" x14ac:dyDescent="0.3">
      <c r="Q32" s="127"/>
    </row>
    <row r="33" spans="17:17" x14ac:dyDescent="0.3">
      <c r="Q33" s="127"/>
    </row>
    <row r="34" spans="17:17" x14ac:dyDescent="0.3">
      <c r="Q34" s="127"/>
    </row>
    <row r="35" spans="17:17" x14ac:dyDescent="0.3">
      <c r="Q35" s="127"/>
    </row>
    <row r="36" spans="17:17" x14ac:dyDescent="0.3">
      <c r="Q36" s="127"/>
    </row>
    <row r="37" spans="17:17" x14ac:dyDescent="0.3">
      <c r="Q37" s="127"/>
    </row>
    <row r="38" spans="17:17" x14ac:dyDescent="0.3">
      <c r="Q38" s="127"/>
    </row>
    <row r="39" spans="17:17" x14ac:dyDescent="0.3">
      <c r="Q39" s="127"/>
    </row>
    <row r="40" spans="17:17" x14ac:dyDescent="0.3">
      <c r="Q40" s="127"/>
    </row>
    <row r="41" spans="17:17" x14ac:dyDescent="0.3">
      <c r="Q41" s="127"/>
    </row>
    <row r="42" spans="17:17" x14ac:dyDescent="0.3">
      <c r="Q42" s="127"/>
    </row>
    <row r="43" spans="17:17" x14ac:dyDescent="0.3">
      <c r="Q43" s="127"/>
    </row>
    <row r="44" spans="17:17" x14ac:dyDescent="0.3">
      <c r="Q44" s="127"/>
    </row>
    <row r="45" spans="17:17" x14ac:dyDescent="0.3">
      <c r="Q45" s="127"/>
    </row>
    <row r="46" spans="17:17" x14ac:dyDescent="0.3">
      <c r="Q46" s="127"/>
    </row>
    <row r="47" spans="17:17" x14ac:dyDescent="0.3">
      <c r="Q47" s="127"/>
    </row>
  </sheetData>
  <pageMargins left="0.7" right="0.7" top="0.75" bottom="0.75" header="0.3" footer="0.3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73E45-1C12-4D28-B7B8-1F6E246A6E85}">
  <dimension ref="A1:W15"/>
  <sheetViews>
    <sheetView tabSelected="1" workbookViewId="0">
      <selection activeCell="D10" sqref="D10"/>
    </sheetView>
  </sheetViews>
  <sheetFormatPr defaultRowHeight="14.4" x14ac:dyDescent="0.3"/>
  <cols>
    <col min="1" max="1" width="7.109375" customWidth="1"/>
    <col min="2" max="2" width="8.5546875" customWidth="1"/>
    <col min="3" max="3" width="19.77734375" customWidth="1"/>
    <col min="4" max="4" width="10.21875" customWidth="1"/>
    <col min="5" max="5" width="10.109375" customWidth="1"/>
    <col min="6" max="6" width="12.109375" customWidth="1"/>
    <col min="7" max="7" width="11.33203125" customWidth="1"/>
    <col min="8" max="8" width="9.33203125" customWidth="1"/>
    <col min="9" max="9" width="12" customWidth="1"/>
    <col min="10" max="10" width="9.88671875" customWidth="1"/>
    <col min="11" max="12" width="13.88671875" customWidth="1"/>
    <col min="13" max="13" width="20.21875" customWidth="1"/>
    <col min="14" max="14" width="36.77734375" customWidth="1"/>
    <col min="15" max="15" width="21.33203125" customWidth="1"/>
    <col min="16" max="16" width="6" customWidth="1"/>
    <col min="17" max="17" width="5.6640625" customWidth="1"/>
    <col min="18" max="18" width="10.77734375" customWidth="1"/>
    <col min="19" max="19" width="9.77734375" customWidth="1"/>
    <col min="20" max="20" width="12.6640625" customWidth="1"/>
    <col min="21" max="21" width="10.44140625" customWidth="1"/>
    <col min="22" max="23" width="10.77734375" customWidth="1"/>
  </cols>
  <sheetData>
    <row r="1" spans="1:23" ht="15" thickBot="1" x14ac:dyDescent="0.35">
      <c r="A1" t="s">
        <v>297</v>
      </c>
      <c r="F1" t="s">
        <v>298</v>
      </c>
    </row>
    <row r="2" spans="1:23" ht="15.6" thickTop="1" thickBot="1" x14ac:dyDescent="0.35">
      <c r="K2" s="910" t="s">
        <v>299</v>
      </c>
      <c r="L2" s="911"/>
      <c r="M2" s="912" t="s">
        <v>300</v>
      </c>
      <c r="N2" s="912"/>
      <c r="O2" s="911"/>
    </row>
    <row r="3" spans="1:23" ht="71.55" customHeight="1" thickTop="1" thickBot="1" x14ac:dyDescent="0.35">
      <c r="A3" s="17" t="s">
        <v>137</v>
      </c>
      <c r="B3" s="23" t="s">
        <v>301</v>
      </c>
      <c r="C3" s="23" t="s">
        <v>302</v>
      </c>
      <c r="D3" s="23" t="s">
        <v>303</v>
      </c>
      <c r="E3" s="23" t="s">
        <v>304</v>
      </c>
      <c r="F3" s="23" t="s">
        <v>305</v>
      </c>
      <c r="G3" s="23" t="s">
        <v>306</v>
      </c>
      <c r="H3" s="23" t="s">
        <v>307</v>
      </c>
      <c r="I3" s="97" t="s">
        <v>308</v>
      </c>
      <c r="J3" s="128" t="s">
        <v>220</v>
      </c>
      <c r="K3" s="129" t="s">
        <v>309</v>
      </c>
      <c r="L3" s="130" t="s">
        <v>310</v>
      </c>
      <c r="M3" s="131" t="s">
        <v>311</v>
      </c>
      <c r="N3" s="132" t="s">
        <v>312</v>
      </c>
      <c r="O3" s="133" t="s">
        <v>313</v>
      </c>
      <c r="P3" s="134"/>
      <c r="Q3" s="56"/>
      <c r="R3" s="56"/>
      <c r="S3" s="56"/>
      <c r="T3" s="56"/>
      <c r="U3" s="56"/>
      <c r="V3" s="56"/>
      <c r="W3" s="56"/>
    </row>
    <row r="4" spans="1:23" ht="87.6" thickTop="1" thickBot="1" x14ac:dyDescent="0.35">
      <c r="A4" s="135">
        <v>1</v>
      </c>
      <c r="B4" s="135" t="s">
        <v>314</v>
      </c>
      <c r="C4" s="136" t="s">
        <v>315</v>
      </c>
      <c r="D4" s="135">
        <v>2010</v>
      </c>
      <c r="E4" s="136" t="s">
        <v>316</v>
      </c>
      <c r="F4" s="136" t="s">
        <v>317</v>
      </c>
      <c r="G4" s="136" t="s">
        <v>318</v>
      </c>
      <c r="H4" s="135">
        <v>1</v>
      </c>
      <c r="I4" s="137" t="s">
        <v>319</v>
      </c>
      <c r="J4" s="138">
        <v>43677</v>
      </c>
      <c r="K4" s="139">
        <v>7000</v>
      </c>
      <c r="L4" s="140" t="s">
        <v>320</v>
      </c>
      <c r="M4" s="141" t="s">
        <v>321</v>
      </c>
      <c r="N4" s="142" t="s">
        <v>322</v>
      </c>
      <c r="O4" s="140" t="s">
        <v>323</v>
      </c>
      <c r="P4" s="143"/>
      <c r="R4" s="82"/>
      <c r="S4" s="56"/>
      <c r="T4" s="26"/>
    </row>
    <row r="5" spans="1:23" ht="87.6" thickTop="1" thickBot="1" x14ac:dyDescent="0.35">
      <c r="A5" s="144">
        <v>2</v>
      </c>
      <c r="B5" t="s">
        <v>2354</v>
      </c>
      <c r="C5" s="144" t="s">
        <v>324</v>
      </c>
      <c r="D5" s="144">
        <v>1990</v>
      </c>
      <c r="E5" s="144" t="s">
        <v>325</v>
      </c>
      <c r="F5" s="144" t="s">
        <v>326</v>
      </c>
      <c r="G5" s="145" t="s">
        <v>327</v>
      </c>
      <c r="H5" s="144">
        <v>1</v>
      </c>
      <c r="I5" s="146" t="s">
        <v>328</v>
      </c>
      <c r="J5" s="147">
        <v>43799</v>
      </c>
      <c r="K5" s="148" t="s">
        <v>160</v>
      </c>
      <c r="L5" s="149" t="s">
        <v>160</v>
      </c>
      <c r="M5" s="150" t="s">
        <v>321</v>
      </c>
      <c r="N5" s="142" t="s">
        <v>322</v>
      </c>
      <c r="O5" s="140" t="s">
        <v>323</v>
      </c>
    </row>
    <row r="6" spans="1:23" ht="15" thickTop="1" x14ac:dyDescent="0.3">
      <c r="K6" s="21" t="s">
        <v>329</v>
      </c>
    </row>
    <row r="7" spans="1:23" x14ac:dyDescent="0.3">
      <c r="J7" s="112" t="s">
        <v>69</v>
      </c>
      <c r="K7" s="151" t="s">
        <v>330</v>
      </c>
      <c r="L7" s="152"/>
      <c r="M7" s="152"/>
      <c r="N7" s="152"/>
    </row>
    <row r="8" spans="1:23" x14ac:dyDescent="0.3">
      <c r="J8" s="112"/>
      <c r="K8" s="151" t="s">
        <v>331</v>
      </c>
      <c r="L8" s="152"/>
      <c r="M8" s="152"/>
      <c r="N8" s="152"/>
    </row>
    <row r="9" spans="1:23" x14ac:dyDescent="0.3">
      <c r="J9" s="112"/>
      <c r="K9" s="151" t="s">
        <v>332</v>
      </c>
      <c r="L9" s="152"/>
      <c r="M9" s="152"/>
      <c r="N9" s="152"/>
    </row>
    <row r="10" spans="1:23" x14ac:dyDescent="0.3">
      <c r="J10" s="112"/>
      <c r="K10" s="151" t="s">
        <v>333</v>
      </c>
      <c r="L10" s="152"/>
      <c r="M10" s="152"/>
      <c r="N10" s="152"/>
    </row>
    <row r="11" spans="1:23" x14ac:dyDescent="0.3">
      <c r="J11" s="112" t="s">
        <v>71</v>
      </c>
      <c r="K11" s="151" t="s">
        <v>334</v>
      </c>
    </row>
    <row r="12" spans="1:23" x14ac:dyDescent="0.3">
      <c r="J12" s="112"/>
      <c r="K12" s="151" t="s">
        <v>335</v>
      </c>
    </row>
    <row r="13" spans="1:23" x14ac:dyDescent="0.3">
      <c r="J13" s="112"/>
      <c r="K13" s="151" t="s">
        <v>336</v>
      </c>
    </row>
    <row r="14" spans="1:23" x14ac:dyDescent="0.3">
      <c r="J14" s="112"/>
      <c r="K14" s="151" t="s">
        <v>337</v>
      </c>
    </row>
    <row r="15" spans="1:23" x14ac:dyDescent="0.3">
      <c r="J15" s="112" t="s">
        <v>73</v>
      </c>
      <c r="K15" s="151" t="s">
        <v>338</v>
      </c>
    </row>
  </sheetData>
  <mergeCells count="2">
    <mergeCell ref="K2:L2"/>
    <mergeCell ref="M2:O2"/>
  </mergeCells>
  <pageMargins left="0.7" right="0.7" top="0.75" bottom="0.75" header="0.3" footer="0.3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E13B5-E49C-4753-A34D-EA8FFA96DD0E}">
  <dimension ref="A1:F27"/>
  <sheetViews>
    <sheetView topLeftCell="A4" workbookViewId="0">
      <selection activeCell="A2" sqref="A2"/>
    </sheetView>
  </sheetViews>
  <sheetFormatPr defaultRowHeight="14.4" x14ac:dyDescent="0.3"/>
  <cols>
    <col min="3" max="3" width="21.88671875" customWidth="1"/>
    <col min="4" max="4" width="8.88671875" customWidth="1"/>
    <col min="5" max="5" width="33.5546875" customWidth="1"/>
    <col min="6" max="6" width="22.21875" customWidth="1"/>
  </cols>
  <sheetData>
    <row r="1" spans="1:6" ht="15.6" x14ac:dyDescent="0.3">
      <c r="A1" s="153" t="s">
        <v>353</v>
      </c>
    </row>
    <row r="2" spans="1:6" ht="15" thickBot="1" x14ac:dyDescent="0.35"/>
    <row r="3" spans="1:6" ht="29.4" thickBot="1" x14ac:dyDescent="0.35">
      <c r="B3" s="154"/>
      <c r="C3" s="155" t="s">
        <v>85</v>
      </c>
      <c r="D3" s="156" t="s">
        <v>339</v>
      </c>
      <c r="E3" s="155" t="s">
        <v>340</v>
      </c>
      <c r="F3" s="155" t="s">
        <v>341</v>
      </c>
    </row>
    <row r="4" spans="1:6" ht="28.8" x14ac:dyDescent="0.3">
      <c r="B4" s="913" t="s">
        <v>69</v>
      </c>
      <c r="C4" s="157" t="s">
        <v>342</v>
      </c>
      <c r="D4" s="916">
        <v>1</v>
      </c>
      <c r="E4" s="919"/>
      <c r="F4" s="922">
        <v>21250</v>
      </c>
    </row>
    <row r="5" spans="1:6" x14ac:dyDescent="0.3">
      <c r="B5" s="914"/>
      <c r="C5" s="158" t="s">
        <v>343</v>
      </c>
      <c r="D5" s="917"/>
      <c r="E5" s="920"/>
      <c r="F5" s="923"/>
    </row>
    <row r="6" spans="1:6" x14ac:dyDescent="0.3">
      <c r="B6" s="914"/>
      <c r="C6" s="158" t="s">
        <v>344</v>
      </c>
      <c r="D6" s="917"/>
      <c r="E6" s="920"/>
      <c r="F6" s="923"/>
    </row>
    <row r="7" spans="1:6" x14ac:dyDescent="0.3">
      <c r="B7" s="914"/>
      <c r="C7" s="158" t="s">
        <v>345</v>
      </c>
      <c r="D7" s="917"/>
      <c r="E7" s="920"/>
      <c r="F7" s="923"/>
    </row>
    <row r="8" spans="1:6" x14ac:dyDescent="0.3">
      <c r="B8" s="914"/>
      <c r="C8" s="158" t="s">
        <v>346</v>
      </c>
      <c r="D8" s="917"/>
      <c r="E8" s="920"/>
      <c r="F8" s="923"/>
    </row>
    <row r="9" spans="1:6" x14ac:dyDescent="0.3">
      <c r="B9" s="914"/>
      <c r="C9" s="158"/>
      <c r="D9" s="917"/>
      <c r="E9" s="920"/>
      <c r="F9" s="923"/>
    </row>
    <row r="10" spans="1:6" x14ac:dyDescent="0.3">
      <c r="B10" s="914"/>
      <c r="C10" s="159"/>
      <c r="D10" s="917"/>
      <c r="E10" s="920"/>
      <c r="F10" s="923"/>
    </row>
    <row r="11" spans="1:6" ht="15" thickBot="1" x14ac:dyDescent="0.35">
      <c r="B11" s="915"/>
      <c r="C11" s="160"/>
      <c r="D11" s="918"/>
      <c r="E11" s="921"/>
      <c r="F11" s="923"/>
    </row>
    <row r="12" spans="1:6" ht="28.8" x14ac:dyDescent="0.3">
      <c r="B12" s="913"/>
      <c r="C12" s="157" t="s">
        <v>347</v>
      </c>
      <c r="D12" s="916">
        <v>1</v>
      </c>
      <c r="E12" s="919"/>
      <c r="F12" s="923"/>
    </row>
    <row r="13" spans="1:6" x14ac:dyDescent="0.3">
      <c r="B13" s="914"/>
      <c r="C13" s="158" t="s">
        <v>343</v>
      </c>
      <c r="D13" s="917"/>
      <c r="E13" s="920"/>
      <c r="F13" s="923"/>
    </row>
    <row r="14" spans="1:6" x14ac:dyDescent="0.3">
      <c r="B14" s="914"/>
      <c r="C14" s="158" t="s">
        <v>344</v>
      </c>
      <c r="D14" s="917"/>
      <c r="E14" s="920"/>
      <c r="F14" s="923"/>
    </row>
    <row r="15" spans="1:6" x14ac:dyDescent="0.3">
      <c r="B15" s="914"/>
      <c r="C15" s="158" t="s">
        <v>348</v>
      </c>
      <c r="D15" s="917"/>
      <c r="E15" s="920"/>
      <c r="F15" s="923"/>
    </row>
    <row r="16" spans="1:6" x14ac:dyDescent="0.3">
      <c r="B16" s="914"/>
      <c r="C16" s="158" t="s">
        <v>346</v>
      </c>
      <c r="D16" s="917"/>
      <c r="E16" s="920"/>
      <c r="F16" s="923"/>
    </row>
    <row r="17" spans="2:6" x14ac:dyDescent="0.3">
      <c r="B17" s="914"/>
      <c r="C17" s="159"/>
      <c r="D17" s="917"/>
      <c r="E17" s="920"/>
      <c r="F17" s="923"/>
    </row>
    <row r="18" spans="2:6" x14ac:dyDescent="0.3">
      <c r="B18" s="914"/>
      <c r="C18" s="159"/>
      <c r="D18" s="917"/>
      <c r="E18" s="920"/>
      <c r="F18" s="923"/>
    </row>
    <row r="19" spans="2:6" ht="15" thickBot="1" x14ac:dyDescent="0.35">
      <c r="B19" s="915"/>
      <c r="C19" s="160"/>
      <c r="D19" s="918"/>
      <c r="E19" s="921"/>
      <c r="F19" s="924"/>
    </row>
    <row r="20" spans="2:6" ht="28.8" x14ac:dyDescent="0.3">
      <c r="B20" s="913" t="s">
        <v>349</v>
      </c>
      <c r="C20" s="157" t="s">
        <v>350</v>
      </c>
      <c r="D20" s="916">
        <v>1</v>
      </c>
      <c r="E20" s="919"/>
      <c r="F20" s="922">
        <v>30000</v>
      </c>
    </row>
    <row r="21" spans="2:6" x14ac:dyDescent="0.3">
      <c r="B21" s="914"/>
      <c r="C21" s="158" t="s">
        <v>351</v>
      </c>
      <c r="D21" s="917"/>
      <c r="E21" s="920"/>
      <c r="F21" s="923"/>
    </row>
    <row r="22" spans="2:6" x14ac:dyDescent="0.3">
      <c r="B22" s="914"/>
      <c r="C22" s="158" t="s">
        <v>352</v>
      </c>
      <c r="D22" s="917"/>
      <c r="E22" s="920"/>
      <c r="F22" s="923"/>
    </row>
    <row r="23" spans="2:6" x14ac:dyDescent="0.3">
      <c r="B23" s="914"/>
      <c r="C23" s="158">
        <v>2013</v>
      </c>
      <c r="D23" s="917"/>
      <c r="E23" s="920"/>
      <c r="F23" s="923"/>
    </row>
    <row r="24" spans="2:6" x14ac:dyDescent="0.3">
      <c r="B24" s="914"/>
      <c r="C24" s="159"/>
      <c r="D24" s="917"/>
      <c r="E24" s="920"/>
      <c r="F24" s="923"/>
    </row>
    <row r="25" spans="2:6" x14ac:dyDescent="0.3">
      <c r="B25" s="914"/>
      <c r="C25" s="159"/>
      <c r="D25" s="917"/>
      <c r="E25" s="920"/>
      <c r="F25" s="923"/>
    </row>
    <row r="26" spans="2:6" ht="15" thickBot="1" x14ac:dyDescent="0.35">
      <c r="B26" s="915"/>
      <c r="C26" s="160"/>
      <c r="D26" s="918"/>
      <c r="E26" s="921"/>
      <c r="F26" s="924"/>
    </row>
    <row r="27" spans="2:6" ht="15.6" x14ac:dyDescent="0.3">
      <c r="B27" s="161"/>
    </row>
  </sheetData>
  <mergeCells count="11">
    <mergeCell ref="B20:B26"/>
    <mergeCell ref="D20:D26"/>
    <mergeCell ref="E20:E26"/>
    <mergeCell ref="F20:F26"/>
    <mergeCell ref="B4:B11"/>
    <mergeCell ref="D4:D11"/>
    <mergeCell ref="E4:E11"/>
    <mergeCell ref="F4:F19"/>
    <mergeCell ref="B12:B19"/>
    <mergeCell ref="D12:D19"/>
    <mergeCell ref="E12:E1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58FD2-50F4-46C3-BFC6-B7ECE8E37046}">
  <sheetPr>
    <pageSetUpPr fitToPage="1"/>
  </sheetPr>
  <dimension ref="A1:Z33"/>
  <sheetViews>
    <sheetView topLeftCell="A16" zoomScale="85" zoomScaleNormal="85" workbookViewId="0">
      <selection activeCell="U35" sqref="U35"/>
    </sheetView>
  </sheetViews>
  <sheetFormatPr defaultColWidth="9" defaultRowHeight="14.4" x14ac:dyDescent="0.3"/>
  <cols>
    <col min="1" max="1" width="6.109375" style="163" customWidth="1"/>
    <col min="2" max="2" width="28.109375" style="163" customWidth="1"/>
    <col min="3" max="3" width="18.33203125" style="163" customWidth="1"/>
    <col min="4" max="4" width="15.5546875" style="163" customWidth="1"/>
    <col min="5" max="5" width="16.109375" style="163" customWidth="1"/>
    <col min="6" max="6" width="16.5546875" style="163" customWidth="1"/>
    <col min="7" max="7" width="14.5546875" style="163" customWidth="1"/>
    <col min="8" max="8" width="13.44140625" style="163" customWidth="1"/>
    <col min="9" max="9" width="14.6640625" style="163" customWidth="1"/>
    <col min="10" max="10" width="12.88671875" style="163" customWidth="1"/>
    <col min="11" max="12" width="13.5546875" style="163" customWidth="1"/>
    <col min="13" max="13" width="13.44140625" style="163" customWidth="1"/>
    <col min="14" max="14" width="9" style="163" customWidth="1"/>
    <col min="15" max="15" width="10.33203125" style="163" customWidth="1"/>
    <col min="16" max="18" width="9" style="163" customWidth="1"/>
    <col min="19" max="19" width="10.6640625" style="163" customWidth="1"/>
    <col min="20" max="20" width="9.88671875" style="163" customWidth="1"/>
    <col min="21" max="23" width="9" style="163" customWidth="1"/>
    <col min="24" max="24" width="9.5546875" style="163" customWidth="1"/>
    <col min="25" max="16384" width="9" style="163"/>
  </cols>
  <sheetData>
    <row r="1" spans="1:15" x14ac:dyDescent="0.3">
      <c r="A1" s="162"/>
    </row>
    <row r="2" spans="1:15" ht="18" x14ac:dyDescent="0.35">
      <c r="B2" s="164" t="s">
        <v>354</v>
      </c>
    </row>
    <row r="3" spans="1:15" ht="18" x14ac:dyDescent="0.35">
      <c r="B3" s="165" t="s">
        <v>355</v>
      </c>
    </row>
    <row r="4" spans="1:15" x14ac:dyDescent="0.3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7"/>
      <c r="L4" s="167"/>
      <c r="M4" s="166"/>
      <c r="N4" s="168"/>
    </row>
    <row r="5" spans="1:15" s="177" customFormat="1" ht="15" customHeight="1" x14ac:dyDescent="0.3">
      <c r="A5" s="169"/>
      <c r="B5" s="170"/>
      <c r="C5" s="171" t="s">
        <v>1</v>
      </c>
      <c r="D5" s="172" t="s">
        <v>356</v>
      </c>
      <c r="E5" s="173" t="s">
        <v>3</v>
      </c>
      <c r="F5" s="173" t="s">
        <v>4</v>
      </c>
      <c r="G5" s="173" t="s">
        <v>5</v>
      </c>
      <c r="H5" s="173" t="s">
        <v>6</v>
      </c>
      <c r="I5" s="174" t="s">
        <v>7</v>
      </c>
      <c r="J5" s="174" t="s">
        <v>8</v>
      </c>
      <c r="K5" s="174" t="s">
        <v>9</v>
      </c>
      <c r="L5" s="174" t="s">
        <v>10</v>
      </c>
      <c r="M5" s="175"/>
      <c r="N5" s="176"/>
    </row>
    <row r="6" spans="1:15" ht="100.8" customHeight="1" x14ac:dyDescent="0.3">
      <c r="A6" s="178" t="s">
        <v>189</v>
      </c>
      <c r="B6" s="179" t="s">
        <v>357</v>
      </c>
      <c r="C6" s="180" t="s">
        <v>358</v>
      </c>
      <c r="D6" s="181" t="s">
        <v>12</v>
      </c>
      <c r="E6" s="173" t="s">
        <v>13</v>
      </c>
      <c r="F6" s="173" t="s">
        <v>14</v>
      </c>
      <c r="G6" s="173" t="s">
        <v>359</v>
      </c>
      <c r="H6" s="173" t="s">
        <v>191</v>
      </c>
      <c r="I6" s="182" t="s">
        <v>17</v>
      </c>
      <c r="J6" s="182" t="s">
        <v>18</v>
      </c>
      <c r="K6" s="182" t="s">
        <v>19</v>
      </c>
      <c r="L6" s="182" t="s">
        <v>360</v>
      </c>
      <c r="M6" s="173" t="s">
        <v>193</v>
      </c>
      <c r="N6" s="168"/>
    </row>
    <row r="7" spans="1:15" s="177" customFormat="1" x14ac:dyDescent="0.3">
      <c r="A7" s="183"/>
      <c r="B7" s="184" t="s">
        <v>354</v>
      </c>
      <c r="C7" s="185">
        <f>I17</f>
        <v>3455400</v>
      </c>
      <c r="D7" s="186">
        <f>SUM(E7:L7)</f>
        <v>432960.54</v>
      </c>
      <c r="E7" s="187">
        <v>23399.77</v>
      </c>
      <c r="F7" s="187">
        <v>215668.56</v>
      </c>
      <c r="G7" s="187">
        <v>72240.009999999995</v>
      </c>
      <c r="H7" s="187">
        <v>14153.25</v>
      </c>
      <c r="I7" s="187">
        <v>25554.97</v>
      </c>
      <c r="J7" s="187">
        <v>12889.03</v>
      </c>
      <c r="K7" s="187">
        <v>0</v>
      </c>
      <c r="L7" s="187">
        <v>69054.95</v>
      </c>
      <c r="M7" s="188">
        <v>37</v>
      </c>
      <c r="N7" s="176"/>
      <c r="O7" s="189"/>
    </row>
    <row r="8" spans="1:15" x14ac:dyDescent="0.3">
      <c r="A8" s="190"/>
      <c r="B8" s="191"/>
      <c r="C8" s="192"/>
      <c r="D8" s="193"/>
      <c r="E8" s="194"/>
      <c r="F8" s="194"/>
      <c r="G8" s="194"/>
      <c r="H8" s="194"/>
      <c r="I8" s="194"/>
      <c r="J8" s="194"/>
      <c r="K8" s="194"/>
      <c r="L8" s="194"/>
      <c r="M8" s="195"/>
      <c r="N8" s="168"/>
    </row>
    <row r="9" spans="1:15" x14ac:dyDescent="0.3">
      <c r="A9" s="166"/>
      <c r="B9" s="166"/>
      <c r="C9" s="166"/>
      <c r="D9" s="196"/>
      <c r="E9" s="197"/>
      <c r="F9" s="197"/>
      <c r="G9" s="197"/>
      <c r="H9" s="197"/>
      <c r="I9" s="196"/>
      <c r="J9" s="196"/>
      <c r="K9" s="198"/>
      <c r="L9" s="198"/>
      <c r="M9" s="199"/>
      <c r="N9" s="168"/>
    </row>
    <row r="10" spans="1:15" x14ac:dyDescent="0.3">
      <c r="A10" s="166"/>
      <c r="B10" s="166"/>
      <c r="C10" s="166"/>
      <c r="D10" s="196"/>
      <c r="E10" s="197"/>
      <c r="F10" s="197"/>
      <c r="G10" s="197"/>
      <c r="H10" s="197"/>
      <c r="I10" s="196"/>
      <c r="J10" s="196"/>
      <c r="K10" s="198"/>
      <c r="L10" s="200"/>
      <c r="M10" s="197"/>
      <c r="N10" s="168"/>
    </row>
    <row r="11" spans="1:15" x14ac:dyDescent="0.3">
      <c r="A11" s="166"/>
      <c r="B11" s="201" t="s">
        <v>197</v>
      </c>
      <c r="C11" s="166"/>
      <c r="D11" s="197"/>
      <c r="E11" s="197"/>
      <c r="F11" s="197"/>
      <c r="G11" s="197"/>
      <c r="H11" s="197"/>
      <c r="I11" s="196"/>
      <c r="J11" s="202"/>
      <c r="K11" s="197"/>
      <c r="L11" s="199"/>
      <c r="M11" s="197"/>
    </row>
    <row r="12" spans="1:15" s="177" customFormat="1" ht="57.6" x14ac:dyDescent="0.3">
      <c r="A12" s="203" t="s">
        <v>189</v>
      </c>
      <c r="B12" s="204" t="s">
        <v>361</v>
      </c>
      <c r="C12" s="205" t="s">
        <v>199</v>
      </c>
      <c r="D12" s="206" t="s">
        <v>200</v>
      </c>
      <c r="E12" s="206" t="s">
        <v>201</v>
      </c>
      <c r="F12" s="206" t="s">
        <v>202</v>
      </c>
      <c r="G12" s="206" t="s">
        <v>53</v>
      </c>
      <c r="H12" s="206" t="s">
        <v>203</v>
      </c>
      <c r="I12" s="206" t="s">
        <v>204</v>
      </c>
      <c r="J12" s="207"/>
      <c r="K12" s="208"/>
      <c r="L12" s="209"/>
      <c r="M12" s="209"/>
    </row>
    <row r="13" spans="1:15" s="219" customFormat="1" ht="28.8" x14ac:dyDescent="0.3">
      <c r="A13" s="210"/>
      <c r="B13" s="210" t="s">
        <v>362</v>
      </c>
      <c r="C13" s="211"/>
      <c r="D13" s="212" t="s">
        <v>363</v>
      </c>
      <c r="E13" s="213" t="s">
        <v>364</v>
      </c>
      <c r="F13" s="213" t="s">
        <v>365</v>
      </c>
      <c r="G13" s="212">
        <v>1870</v>
      </c>
      <c r="H13" s="214">
        <v>2</v>
      </c>
      <c r="I13" s="215">
        <f>G13*1150</f>
        <v>2150500</v>
      </c>
      <c r="J13" s="216"/>
      <c r="K13" s="217"/>
      <c r="L13" s="218"/>
      <c r="M13" s="218"/>
    </row>
    <row r="14" spans="1:15" s="219" customFormat="1" ht="28.8" x14ac:dyDescent="0.3">
      <c r="A14" s="210"/>
      <c r="B14" s="210" t="s">
        <v>366</v>
      </c>
      <c r="C14" s="211">
        <v>1979</v>
      </c>
      <c r="D14" s="212">
        <v>2001.2009</v>
      </c>
      <c r="E14" s="212" t="s">
        <v>367</v>
      </c>
      <c r="F14" s="212" t="s">
        <v>365</v>
      </c>
      <c r="G14" s="212">
        <v>520</v>
      </c>
      <c r="H14" s="214">
        <v>2</v>
      </c>
      <c r="I14" s="215">
        <f>G14*1150</f>
        <v>598000</v>
      </c>
      <c r="J14" s="216"/>
      <c r="K14" s="220"/>
      <c r="L14" s="218"/>
      <c r="M14" s="218"/>
    </row>
    <row r="15" spans="1:15" s="219" customFormat="1" ht="28.8" x14ac:dyDescent="0.3">
      <c r="A15" s="210"/>
      <c r="B15" s="210" t="s">
        <v>368</v>
      </c>
      <c r="C15" s="211">
        <v>1983</v>
      </c>
      <c r="D15" s="212">
        <v>2008</v>
      </c>
      <c r="E15" s="212" t="s">
        <v>369</v>
      </c>
      <c r="F15" s="212" t="s">
        <v>370</v>
      </c>
      <c r="G15" s="212">
        <v>606</v>
      </c>
      <c r="H15" s="214">
        <v>1</v>
      </c>
      <c r="I15" s="215">
        <f>G15*1150</f>
        <v>696900</v>
      </c>
      <c r="J15" s="216"/>
      <c r="K15" s="220"/>
      <c r="L15" s="218"/>
      <c r="M15" s="218"/>
    </row>
    <row r="16" spans="1:15" s="219" customFormat="1" x14ac:dyDescent="0.3">
      <c r="A16" s="210"/>
      <c r="B16" s="210" t="s">
        <v>371</v>
      </c>
      <c r="C16" s="211"/>
      <c r="D16" s="212"/>
      <c r="E16" s="212"/>
      <c r="F16" s="212"/>
      <c r="G16" s="212"/>
      <c r="H16" s="214"/>
      <c r="I16" s="215">
        <v>10000</v>
      </c>
      <c r="J16" s="216"/>
      <c r="K16" s="220"/>
      <c r="L16" s="218"/>
      <c r="M16" s="218"/>
    </row>
    <row r="17" spans="1:26" s="228" customFormat="1" x14ac:dyDescent="0.3">
      <c r="A17" s="221"/>
      <c r="B17" s="221" t="s">
        <v>83</v>
      </c>
      <c r="C17" s="222"/>
      <c r="D17" s="223"/>
      <c r="E17" s="223"/>
      <c r="F17" s="223"/>
      <c r="G17" s="224">
        <f>SUM(G13:G15)</f>
        <v>2996</v>
      </c>
      <c r="H17" s="225"/>
      <c r="I17" s="226">
        <f>SUM(I13:I16)</f>
        <v>3455400</v>
      </c>
      <c r="J17" s="227"/>
      <c r="K17" s="227"/>
      <c r="L17" s="227"/>
      <c r="M17" s="227"/>
    </row>
    <row r="18" spans="1:26" s="231" customFormat="1" x14ac:dyDescent="0.3">
      <c r="A18" s="163"/>
      <c r="B18" s="162"/>
      <c r="C18" s="163"/>
      <c r="D18" s="229"/>
      <c r="E18" s="199"/>
      <c r="F18" s="199"/>
      <c r="G18" s="199"/>
      <c r="H18" s="199"/>
      <c r="I18" s="199"/>
      <c r="J18" s="199"/>
      <c r="K18" s="230"/>
      <c r="L18" s="230"/>
      <c r="M18" s="230"/>
    </row>
    <row r="19" spans="1:26" s="231" customFormat="1" ht="28.2" x14ac:dyDescent="0.3">
      <c r="A19" s="163"/>
      <c r="B19" s="232" t="s">
        <v>372</v>
      </c>
      <c r="C19" s="163"/>
      <c r="D19" s="229"/>
      <c r="E19" s="199"/>
      <c r="F19" s="199"/>
      <c r="G19" s="199"/>
      <c r="H19" s="199"/>
      <c r="I19" s="199"/>
      <c r="J19" s="199"/>
      <c r="K19" s="230"/>
      <c r="L19" s="230"/>
      <c r="M19" s="230"/>
    </row>
    <row r="20" spans="1:26" s="231" customFormat="1" ht="69.599999999999994" x14ac:dyDescent="0.3">
      <c r="A20" s="178" t="s">
        <v>189</v>
      </c>
      <c r="B20" s="233" t="s">
        <v>373</v>
      </c>
      <c r="C20" s="170" t="s">
        <v>374</v>
      </c>
      <c r="D20" s="170" t="s">
        <v>375</v>
      </c>
      <c r="E20" s="170" t="s">
        <v>376</v>
      </c>
      <c r="F20" s="170" t="s">
        <v>377</v>
      </c>
      <c r="G20" s="163"/>
      <c r="H20" s="163"/>
      <c r="I20" s="163"/>
      <c r="J20" s="163"/>
    </row>
    <row r="21" spans="1:26" s="231" customFormat="1" x14ac:dyDescent="0.3">
      <c r="A21" s="234"/>
      <c r="B21" s="210" t="s">
        <v>378</v>
      </c>
      <c r="C21" s="235">
        <f>I13</f>
        <v>2150500</v>
      </c>
      <c r="D21" s="236">
        <v>268024.15000000002</v>
      </c>
      <c r="E21" s="237"/>
      <c r="F21" s="238">
        <v>2904.17</v>
      </c>
      <c r="G21" s="239"/>
      <c r="H21" s="239"/>
      <c r="I21" s="240"/>
      <c r="J21" s="163"/>
    </row>
    <row r="22" spans="1:26" s="242" customFormat="1" ht="15.6" customHeight="1" x14ac:dyDescent="0.3">
      <c r="A22" s="234"/>
      <c r="B22" s="210" t="s">
        <v>379</v>
      </c>
      <c r="C22" s="235">
        <f>I14</f>
        <v>598000</v>
      </c>
      <c r="D22" s="236">
        <v>115173.7</v>
      </c>
      <c r="E22" s="236">
        <v>14153.25</v>
      </c>
      <c r="F22" s="238">
        <v>1543.26</v>
      </c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V22" s="241"/>
      <c r="W22" s="241"/>
      <c r="X22" s="241"/>
    </row>
    <row r="23" spans="1:26" ht="17.399999999999999" customHeight="1" x14ac:dyDescent="0.3">
      <c r="A23" s="234"/>
      <c r="B23" s="210" t="s">
        <v>380</v>
      </c>
      <c r="C23" s="243">
        <f>I15</f>
        <v>696900</v>
      </c>
      <c r="D23" s="244">
        <v>12209.67</v>
      </c>
      <c r="E23" s="244"/>
      <c r="F23" s="245">
        <v>0</v>
      </c>
      <c r="G23" s="246"/>
      <c r="H23" s="246"/>
      <c r="I23" s="246"/>
      <c r="J23" s="246"/>
      <c r="K23" s="246"/>
      <c r="L23" s="246"/>
      <c r="M23" s="246"/>
      <c r="N23" s="247"/>
    </row>
    <row r="24" spans="1:26" ht="17.399999999999999" customHeight="1" x14ac:dyDescent="0.3">
      <c r="A24" s="234"/>
      <c r="B24" s="210" t="s">
        <v>371</v>
      </c>
      <c r="C24" s="243">
        <v>10000</v>
      </c>
      <c r="D24" s="244">
        <v>0</v>
      </c>
      <c r="E24" s="244">
        <v>0</v>
      </c>
      <c r="F24" s="245">
        <v>0</v>
      </c>
      <c r="G24" s="246"/>
      <c r="H24" s="246"/>
      <c r="I24" s="246"/>
      <c r="J24" s="246"/>
      <c r="K24" s="246"/>
      <c r="L24" s="246"/>
      <c r="M24" s="246"/>
      <c r="N24" s="247"/>
    </row>
    <row r="25" spans="1:26" s="256" customFormat="1" ht="17.100000000000001" customHeight="1" x14ac:dyDescent="0.3">
      <c r="A25" s="248"/>
      <c r="B25" s="249" t="s">
        <v>83</v>
      </c>
      <c r="C25" s="250">
        <f>SUM(C21:C24)</f>
        <v>3455400</v>
      </c>
      <c r="D25" s="251">
        <f>SUM(D21:D24)</f>
        <v>395407.52</v>
      </c>
      <c r="E25" s="251">
        <f>SUM(E21:E23)</f>
        <v>14153.25</v>
      </c>
      <c r="F25" s="252">
        <f>SUM(F21:F23)</f>
        <v>4447.43</v>
      </c>
      <c r="G25" s="253"/>
      <c r="H25" s="253"/>
      <c r="I25" s="253"/>
      <c r="J25" s="253"/>
      <c r="K25" s="253"/>
      <c r="L25" s="253"/>
      <c r="M25" s="253"/>
      <c r="N25" s="254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</row>
    <row r="26" spans="1:26" ht="17.100000000000001" customHeight="1" x14ac:dyDescent="0.3">
      <c r="A26" s="257"/>
      <c r="B26" s="258"/>
      <c r="C26" s="259"/>
      <c r="D26" s="259"/>
      <c r="E26" s="259"/>
      <c r="F26" s="260"/>
      <c r="G26" s="261"/>
      <c r="H26" s="261"/>
      <c r="I26" s="261"/>
      <c r="J26" s="261"/>
      <c r="K26" s="261"/>
      <c r="L26" s="261"/>
      <c r="M26" s="261"/>
      <c r="N26" s="262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</row>
    <row r="27" spans="1:26" x14ac:dyDescent="0.3">
      <c r="A27" s="257"/>
      <c r="B27" s="258"/>
      <c r="C27" s="259"/>
      <c r="D27" s="259"/>
      <c r="E27" s="259"/>
      <c r="F27" s="260"/>
      <c r="G27" s="261"/>
      <c r="H27" s="261"/>
      <c r="I27" s="261"/>
      <c r="J27" s="261"/>
      <c r="K27" s="261"/>
      <c r="L27" s="261"/>
      <c r="M27" s="261"/>
      <c r="N27" s="262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</row>
    <row r="28" spans="1:26" ht="23.25" customHeight="1" thickBot="1" x14ac:dyDescent="0.35">
      <c r="B28" s="320" t="s">
        <v>607</v>
      </c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2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</row>
    <row r="29" spans="1:26" s="242" customFormat="1" ht="15" customHeight="1" thickBot="1" x14ac:dyDescent="0.35">
      <c r="A29" s="925"/>
      <c r="B29" s="926" t="s">
        <v>381</v>
      </c>
      <c r="C29" s="927" t="s">
        <v>37</v>
      </c>
      <c r="D29" s="927"/>
      <c r="E29" s="927"/>
      <c r="F29" s="927"/>
      <c r="G29" s="927"/>
      <c r="H29" s="927"/>
      <c r="I29" s="927"/>
      <c r="J29" s="927"/>
      <c r="K29" s="927"/>
      <c r="L29" s="927"/>
      <c r="M29" s="927"/>
      <c r="N29" s="927"/>
      <c r="O29" s="927"/>
      <c r="P29" s="927"/>
      <c r="Q29" s="927"/>
      <c r="R29" s="927"/>
      <c r="S29" s="264"/>
      <c r="T29" s="264"/>
      <c r="U29" s="265"/>
      <c r="V29" s="928" t="s">
        <v>38</v>
      </c>
      <c r="W29" s="928"/>
      <c r="X29" s="928"/>
      <c r="Y29" s="266"/>
      <c r="Z29" s="266"/>
    </row>
    <row r="30" spans="1:26" s="275" customFormat="1" ht="116.25" customHeight="1" thickTop="1" thickBot="1" x14ac:dyDescent="0.35">
      <c r="A30" s="925"/>
      <c r="B30" s="926"/>
      <c r="C30" s="929" t="s">
        <v>41</v>
      </c>
      <c r="D30" s="929"/>
      <c r="E30" s="929"/>
      <c r="F30" s="930" t="s">
        <v>43</v>
      </c>
      <c r="G30" s="930"/>
      <c r="H30" s="930"/>
      <c r="I30" s="931" t="s">
        <v>382</v>
      </c>
      <c r="J30" s="931"/>
      <c r="K30" s="931"/>
      <c r="L30" s="932" t="s">
        <v>383</v>
      </c>
      <c r="M30" s="932"/>
      <c r="N30" s="932"/>
      <c r="O30" s="933" t="s">
        <v>384</v>
      </c>
      <c r="P30" s="933"/>
      <c r="Q30" s="933"/>
      <c r="R30" s="267" t="s">
        <v>2339</v>
      </c>
      <c r="S30" s="268" t="s">
        <v>385</v>
      </c>
      <c r="T30" s="269" t="s">
        <v>386</v>
      </c>
      <c r="U30" s="270" t="s">
        <v>387</v>
      </c>
      <c r="V30" s="271" t="s">
        <v>388</v>
      </c>
      <c r="W30" s="272" t="s">
        <v>390</v>
      </c>
      <c r="X30" s="273" t="s">
        <v>391</v>
      </c>
      <c r="Y30" s="274"/>
      <c r="Z30" s="274"/>
    </row>
    <row r="31" spans="1:26" s="242" customFormat="1" ht="15" thickBot="1" x14ac:dyDescent="0.35">
      <c r="A31" s="263"/>
      <c r="B31" s="276" t="s">
        <v>392</v>
      </c>
      <c r="C31" s="277" t="s">
        <v>48</v>
      </c>
      <c r="D31" s="278" t="s">
        <v>393</v>
      </c>
      <c r="E31" s="278" t="s">
        <v>394</v>
      </c>
      <c r="F31" s="279" t="s">
        <v>48</v>
      </c>
      <c r="G31" s="278" t="s">
        <v>393</v>
      </c>
      <c r="H31" s="280" t="s">
        <v>394</v>
      </c>
      <c r="I31" s="281" t="s">
        <v>48</v>
      </c>
      <c r="J31" s="282" t="s">
        <v>393</v>
      </c>
      <c r="K31" s="283" t="s">
        <v>394</v>
      </c>
      <c r="L31" s="279" t="s">
        <v>48</v>
      </c>
      <c r="M31" s="265" t="s">
        <v>393</v>
      </c>
      <c r="N31" s="283" t="s">
        <v>394</v>
      </c>
      <c r="O31" s="279" t="s">
        <v>48</v>
      </c>
      <c r="P31" s="265" t="s">
        <v>393</v>
      </c>
      <c r="Q31" s="283" t="s">
        <v>394</v>
      </c>
      <c r="R31" s="282" t="s">
        <v>48</v>
      </c>
      <c r="S31" s="284" t="s">
        <v>48</v>
      </c>
      <c r="T31" s="285" t="s">
        <v>393</v>
      </c>
      <c r="U31" s="278" t="s">
        <v>394</v>
      </c>
      <c r="V31" s="279"/>
      <c r="W31" s="286"/>
      <c r="X31" s="283"/>
      <c r="Y31" s="266"/>
      <c r="Z31" s="266"/>
    </row>
    <row r="32" spans="1:26" s="298" customFormat="1" ht="22.8" customHeight="1" x14ac:dyDescent="0.3">
      <c r="A32" s="287"/>
      <c r="B32" s="288" t="s">
        <v>395</v>
      </c>
      <c r="C32" s="289">
        <v>50000</v>
      </c>
      <c r="D32" s="289">
        <v>10000</v>
      </c>
      <c r="E32" s="290">
        <v>0</v>
      </c>
      <c r="F32" s="291">
        <v>40000</v>
      </c>
      <c r="G32" s="291">
        <v>10000</v>
      </c>
      <c r="H32" s="291">
        <v>1000</v>
      </c>
      <c r="I32" s="291">
        <v>30000</v>
      </c>
      <c r="J32" s="291">
        <v>5000</v>
      </c>
      <c r="K32" s="290">
        <v>0</v>
      </c>
      <c r="L32" s="292">
        <v>0</v>
      </c>
      <c r="M32" s="292">
        <v>0</v>
      </c>
      <c r="N32" s="292">
        <v>0</v>
      </c>
      <c r="O32" s="291">
        <v>5000</v>
      </c>
      <c r="P32" s="292">
        <v>0</v>
      </c>
      <c r="Q32" s="293">
        <v>0</v>
      </c>
      <c r="R32" s="294">
        <v>4000</v>
      </c>
      <c r="S32" s="292">
        <v>0</v>
      </c>
      <c r="T32" s="293">
        <v>0</v>
      </c>
      <c r="U32" s="294">
        <v>2904.17</v>
      </c>
      <c r="V32" s="295">
        <v>4000</v>
      </c>
      <c r="W32" s="292">
        <v>2000</v>
      </c>
      <c r="X32" s="296">
        <v>4000</v>
      </c>
      <c r="Y32" s="297"/>
      <c r="Z32" s="297"/>
    </row>
    <row r="33" spans="3:26" x14ac:dyDescent="0.3"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</row>
  </sheetData>
  <sheetProtection selectLockedCells="1" selectUnlockedCells="1"/>
  <mergeCells count="9">
    <mergeCell ref="A29:A30"/>
    <mergeCell ref="B29:B30"/>
    <mergeCell ref="C29:R29"/>
    <mergeCell ref="V29:X29"/>
    <mergeCell ref="C30:E30"/>
    <mergeCell ref="F30:H30"/>
    <mergeCell ref="I30:K30"/>
    <mergeCell ref="L30:N30"/>
    <mergeCell ref="O30:Q30"/>
  </mergeCells>
  <pageMargins left="3.937007874015748E-2" right="0" top="0" bottom="0" header="0.51181102362204722" footer="0.51181102362204722"/>
  <pageSetup paperSize="8" scale="63" firstPageNumber="0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985C6-A953-48DF-9638-541462217B4C}">
  <sheetPr>
    <pageSetUpPr fitToPage="1"/>
  </sheetPr>
  <dimension ref="A1:N37"/>
  <sheetViews>
    <sheetView topLeftCell="C1" zoomScale="115" zoomScaleNormal="115" workbookViewId="0">
      <selection activeCell="J31" sqref="J30:J31"/>
    </sheetView>
  </sheetViews>
  <sheetFormatPr defaultRowHeight="14.4" x14ac:dyDescent="0.3"/>
  <cols>
    <col min="1" max="1" width="6.109375" customWidth="1"/>
    <col min="2" max="2" width="28.109375" customWidth="1"/>
    <col min="3" max="3" width="13.88671875" customWidth="1"/>
    <col min="4" max="4" width="15.5546875" customWidth="1"/>
    <col min="5" max="5" width="14.5546875" customWidth="1"/>
    <col min="6" max="6" width="16.5546875" customWidth="1"/>
    <col min="7" max="7" width="14.5546875" customWidth="1"/>
    <col min="8" max="8" width="13.44140625" customWidth="1"/>
    <col min="9" max="9" width="13.5546875" customWidth="1"/>
    <col min="10" max="10" width="12.88671875" customWidth="1"/>
    <col min="11" max="12" width="13.5546875" customWidth="1"/>
    <col min="13" max="13" width="13.44140625" bestFit="1" customWidth="1"/>
    <col min="27" max="27" width="9.5546875" bestFit="1" customWidth="1"/>
    <col min="257" max="257" width="6.109375" customWidth="1"/>
    <col min="258" max="258" width="28.109375" customWidth="1"/>
    <col min="259" max="259" width="13.88671875" customWidth="1"/>
    <col min="260" max="260" width="14.5546875" customWidth="1"/>
    <col min="261" max="261" width="15.5546875" customWidth="1"/>
    <col min="262" max="262" width="14.5546875" customWidth="1"/>
    <col min="263" max="263" width="16.5546875" customWidth="1"/>
    <col min="264" max="264" width="14.5546875" customWidth="1"/>
    <col min="265" max="265" width="11.5546875" customWidth="1"/>
    <col min="266" max="266" width="12.88671875" customWidth="1"/>
    <col min="267" max="268" width="13.5546875" customWidth="1"/>
    <col min="269" max="269" width="13.44140625" bestFit="1" customWidth="1"/>
    <col min="513" max="513" width="6.109375" customWidth="1"/>
    <col min="514" max="514" width="28.109375" customWidth="1"/>
    <col min="515" max="515" width="13.88671875" customWidth="1"/>
    <col min="516" max="516" width="14.5546875" customWidth="1"/>
    <col min="517" max="517" width="15.5546875" customWidth="1"/>
    <col min="518" max="518" width="14.5546875" customWidth="1"/>
    <col min="519" max="519" width="16.5546875" customWidth="1"/>
    <col min="520" max="520" width="14.5546875" customWidth="1"/>
    <col min="521" max="521" width="11.5546875" customWidth="1"/>
    <col min="522" max="522" width="12.88671875" customWidth="1"/>
    <col min="523" max="524" width="13.5546875" customWidth="1"/>
    <col min="525" max="525" width="13.44140625" bestFit="1" customWidth="1"/>
    <col min="769" max="769" width="6.109375" customWidth="1"/>
    <col min="770" max="770" width="28.109375" customWidth="1"/>
    <col min="771" max="771" width="13.88671875" customWidth="1"/>
    <col min="772" max="772" width="14.5546875" customWidth="1"/>
    <col min="773" max="773" width="15.5546875" customWidth="1"/>
    <col min="774" max="774" width="14.5546875" customWidth="1"/>
    <col min="775" max="775" width="16.5546875" customWidth="1"/>
    <col min="776" max="776" width="14.5546875" customWidth="1"/>
    <col min="777" max="777" width="11.5546875" customWidth="1"/>
    <col min="778" max="778" width="12.88671875" customWidth="1"/>
    <col min="779" max="780" width="13.5546875" customWidth="1"/>
    <col min="781" max="781" width="13.44140625" bestFit="1" customWidth="1"/>
    <col min="1025" max="1025" width="6.109375" customWidth="1"/>
    <col min="1026" max="1026" width="28.109375" customWidth="1"/>
    <col min="1027" max="1027" width="13.88671875" customWidth="1"/>
    <col min="1028" max="1028" width="14.5546875" customWidth="1"/>
    <col min="1029" max="1029" width="15.5546875" customWidth="1"/>
    <col min="1030" max="1030" width="14.5546875" customWidth="1"/>
    <col min="1031" max="1031" width="16.5546875" customWidth="1"/>
    <col min="1032" max="1032" width="14.5546875" customWidth="1"/>
    <col min="1033" max="1033" width="11.5546875" customWidth="1"/>
    <col min="1034" max="1034" width="12.88671875" customWidth="1"/>
    <col min="1035" max="1036" width="13.5546875" customWidth="1"/>
    <col min="1037" max="1037" width="13.44140625" bestFit="1" customWidth="1"/>
    <col min="1281" max="1281" width="6.109375" customWidth="1"/>
    <col min="1282" max="1282" width="28.109375" customWidth="1"/>
    <col min="1283" max="1283" width="13.88671875" customWidth="1"/>
    <col min="1284" max="1284" width="14.5546875" customWidth="1"/>
    <col min="1285" max="1285" width="15.5546875" customWidth="1"/>
    <col min="1286" max="1286" width="14.5546875" customWidth="1"/>
    <col min="1287" max="1287" width="16.5546875" customWidth="1"/>
    <col min="1288" max="1288" width="14.5546875" customWidth="1"/>
    <col min="1289" max="1289" width="11.5546875" customWidth="1"/>
    <col min="1290" max="1290" width="12.88671875" customWidth="1"/>
    <col min="1291" max="1292" width="13.5546875" customWidth="1"/>
    <col min="1293" max="1293" width="13.44140625" bestFit="1" customWidth="1"/>
    <col min="1537" max="1537" width="6.109375" customWidth="1"/>
    <col min="1538" max="1538" width="28.109375" customWidth="1"/>
    <col min="1539" max="1539" width="13.88671875" customWidth="1"/>
    <col min="1540" max="1540" width="14.5546875" customWidth="1"/>
    <col min="1541" max="1541" width="15.5546875" customWidth="1"/>
    <col min="1542" max="1542" width="14.5546875" customWidth="1"/>
    <col min="1543" max="1543" width="16.5546875" customWidth="1"/>
    <col min="1544" max="1544" width="14.5546875" customWidth="1"/>
    <col min="1545" max="1545" width="11.5546875" customWidth="1"/>
    <col min="1546" max="1546" width="12.88671875" customWidth="1"/>
    <col min="1547" max="1548" width="13.5546875" customWidth="1"/>
    <col min="1549" max="1549" width="13.44140625" bestFit="1" customWidth="1"/>
    <col min="1793" max="1793" width="6.109375" customWidth="1"/>
    <col min="1794" max="1794" width="28.109375" customWidth="1"/>
    <col min="1795" max="1795" width="13.88671875" customWidth="1"/>
    <col min="1796" max="1796" width="14.5546875" customWidth="1"/>
    <col min="1797" max="1797" width="15.5546875" customWidth="1"/>
    <col min="1798" max="1798" width="14.5546875" customWidth="1"/>
    <col min="1799" max="1799" width="16.5546875" customWidth="1"/>
    <col min="1800" max="1800" width="14.5546875" customWidth="1"/>
    <col min="1801" max="1801" width="11.5546875" customWidth="1"/>
    <col min="1802" max="1802" width="12.88671875" customWidth="1"/>
    <col min="1803" max="1804" width="13.5546875" customWidth="1"/>
    <col min="1805" max="1805" width="13.44140625" bestFit="1" customWidth="1"/>
    <col min="2049" max="2049" width="6.109375" customWidth="1"/>
    <col min="2050" max="2050" width="28.109375" customWidth="1"/>
    <col min="2051" max="2051" width="13.88671875" customWidth="1"/>
    <col min="2052" max="2052" width="14.5546875" customWidth="1"/>
    <col min="2053" max="2053" width="15.5546875" customWidth="1"/>
    <col min="2054" max="2054" width="14.5546875" customWidth="1"/>
    <col min="2055" max="2055" width="16.5546875" customWidth="1"/>
    <col min="2056" max="2056" width="14.5546875" customWidth="1"/>
    <col min="2057" max="2057" width="11.5546875" customWidth="1"/>
    <col min="2058" max="2058" width="12.88671875" customWidth="1"/>
    <col min="2059" max="2060" width="13.5546875" customWidth="1"/>
    <col min="2061" max="2061" width="13.44140625" bestFit="1" customWidth="1"/>
    <col min="2305" max="2305" width="6.109375" customWidth="1"/>
    <col min="2306" max="2306" width="28.109375" customWidth="1"/>
    <col min="2307" max="2307" width="13.88671875" customWidth="1"/>
    <col min="2308" max="2308" width="14.5546875" customWidth="1"/>
    <col min="2309" max="2309" width="15.5546875" customWidth="1"/>
    <col min="2310" max="2310" width="14.5546875" customWidth="1"/>
    <col min="2311" max="2311" width="16.5546875" customWidth="1"/>
    <col min="2312" max="2312" width="14.5546875" customWidth="1"/>
    <col min="2313" max="2313" width="11.5546875" customWidth="1"/>
    <col min="2314" max="2314" width="12.88671875" customWidth="1"/>
    <col min="2315" max="2316" width="13.5546875" customWidth="1"/>
    <col min="2317" max="2317" width="13.44140625" bestFit="1" customWidth="1"/>
    <col min="2561" max="2561" width="6.109375" customWidth="1"/>
    <col min="2562" max="2562" width="28.109375" customWidth="1"/>
    <col min="2563" max="2563" width="13.88671875" customWidth="1"/>
    <col min="2564" max="2564" width="14.5546875" customWidth="1"/>
    <col min="2565" max="2565" width="15.5546875" customWidth="1"/>
    <col min="2566" max="2566" width="14.5546875" customWidth="1"/>
    <col min="2567" max="2567" width="16.5546875" customWidth="1"/>
    <col min="2568" max="2568" width="14.5546875" customWidth="1"/>
    <col min="2569" max="2569" width="11.5546875" customWidth="1"/>
    <col min="2570" max="2570" width="12.88671875" customWidth="1"/>
    <col min="2571" max="2572" width="13.5546875" customWidth="1"/>
    <col min="2573" max="2573" width="13.44140625" bestFit="1" customWidth="1"/>
    <col min="2817" max="2817" width="6.109375" customWidth="1"/>
    <col min="2818" max="2818" width="28.109375" customWidth="1"/>
    <col min="2819" max="2819" width="13.88671875" customWidth="1"/>
    <col min="2820" max="2820" width="14.5546875" customWidth="1"/>
    <col min="2821" max="2821" width="15.5546875" customWidth="1"/>
    <col min="2822" max="2822" width="14.5546875" customWidth="1"/>
    <col min="2823" max="2823" width="16.5546875" customWidth="1"/>
    <col min="2824" max="2824" width="14.5546875" customWidth="1"/>
    <col min="2825" max="2825" width="11.5546875" customWidth="1"/>
    <col min="2826" max="2826" width="12.88671875" customWidth="1"/>
    <col min="2827" max="2828" width="13.5546875" customWidth="1"/>
    <col min="2829" max="2829" width="13.44140625" bestFit="1" customWidth="1"/>
    <col min="3073" max="3073" width="6.109375" customWidth="1"/>
    <col min="3074" max="3074" width="28.109375" customWidth="1"/>
    <col min="3075" max="3075" width="13.88671875" customWidth="1"/>
    <col min="3076" max="3076" width="14.5546875" customWidth="1"/>
    <col min="3077" max="3077" width="15.5546875" customWidth="1"/>
    <col min="3078" max="3078" width="14.5546875" customWidth="1"/>
    <col min="3079" max="3079" width="16.5546875" customWidth="1"/>
    <col min="3080" max="3080" width="14.5546875" customWidth="1"/>
    <col min="3081" max="3081" width="11.5546875" customWidth="1"/>
    <col min="3082" max="3082" width="12.88671875" customWidth="1"/>
    <col min="3083" max="3084" width="13.5546875" customWidth="1"/>
    <col min="3085" max="3085" width="13.44140625" bestFit="1" customWidth="1"/>
    <col min="3329" max="3329" width="6.109375" customWidth="1"/>
    <col min="3330" max="3330" width="28.109375" customWidth="1"/>
    <col min="3331" max="3331" width="13.88671875" customWidth="1"/>
    <col min="3332" max="3332" width="14.5546875" customWidth="1"/>
    <col min="3333" max="3333" width="15.5546875" customWidth="1"/>
    <col min="3334" max="3334" width="14.5546875" customWidth="1"/>
    <col min="3335" max="3335" width="16.5546875" customWidth="1"/>
    <col min="3336" max="3336" width="14.5546875" customWidth="1"/>
    <col min="3337" max="3337" width="11.5546875" customWidth="1"/>
    <col min="3338" max="3338" width="12.88671875" customWidth="1"/>
    <col min="3339" max="3340" width="13.5546875" customWidth="1"/>
    <col min="3341" max="3341" width="13.44140625" bestFit="1" customWidth="1"/>
    <col min="3585" max="3585" width="6.109375" customWidth="1"/>
    <col min="3586" max="3586" width="28.109375" customWidth="1"/>
    <col min="3587" max="3587" width="13.88671875" customWidth="1"/>
    <col min="3588" max="3588" width="14.5546875" customWidth="1"/>
    <col min="3589" max="3589" width="15.5546875" customWidth="1"/>
    <col min="3590" max="3590" width="14.5546875" customWidth="1"/>
    <col min="3591" max="3591" width="16.5546875" customWidth="1"/>
    <col min="3592" max="3592" width="14.5546875" customWidth="1"/>
    <col min="3593" max="3593" width="11.5546875" customWidth="1"/>
    <col min="3594" max="3594" width="12.88671875" customWidth="1"/>
    <col min="3595" max="3596" width="13.5546875" customWidth="1"/>
    <col min="3597" max="3597" width="13.44140625" bestFit="1" customWidth="1"/>
    <col min="3841" max="3841" width="6.109375" customWidth="1"/>
    <col min="3842" max="3842" width="28.109375" customWidth="1"/>
    <col min="3843" max="3843" width="13.88671875" customWidth="1"/>
    <col min="3844" max="3844" width="14.5546875" customWidth="1"/>
    <col min="3845" max="3845" width="15.5546875" customWidth="1"/>
    <col min="3846" max="3846" width="14.5546875" customWidth="1"/>
    <col min="3847" max="3847" width="16.5546875" customWidth="1"/>
    <col min="3848" max="3848" width="14.5546875" customWidth="1"/>
    <col min="3849" max="3849" width="11.5546875" customWidth="1"/>
    <col min="3850" max="3850" width="12.88671875" customWidth="1"/>
    <col min="3851" max="3852" width="13.5546875" customWidth="1"/>
    <col min="3853" max="3853" width="13.44140625" bestFit="1" customWidth="1"/>
    <col min="4097" max="4097" width="6.109375" customWidth="1"/>
    <col min="4098" max="4098" width="28.109375" customWidth="1"/>
    <col min="4099" max="4099" width="13.88671875" customWidth="1"/>
    <col min="4100" max="4100" width="14.5546875" customWidth="1"/>
    <col min="4101" max="4101" width="15.5546875" customWidth="1"/>
    <col min="4102" max="4102" width="14.5546875" customWidth="1"/>
    <col min="4103" max="4103" width="16.5546875" customWidth="1"/>
    <col min="4104" max="4104" width="14.5546875" customWidth="1"/>
    <col min="4105" max="4105" width="11.5546875" customWidth="1"/>
    <col min="4106" max="4106" width="12.88671875" customWidth="1"/>
    <col min="4107" max="4108" width="13.5546875" customWidth="1"/>
    <col min="4109" max="4109" width="13.44140625" bestFit="1" customWidth="1"/>
    <col min="4353" max="4353" width="6.109375" customWidth="1"/>
    <col min="4354" max="4354" width="28.109375" customWidth="1"/>
    <col min="4355" max="4355" width="13.88671875" customWidth="1"/>
    <col min="4356" max="4356" width="14.5546875" customWidth="1"/>
    <col min="4357" max="4357" width="15.5546875" customWidth="1"/>
    <col min="4358" max="4358" width="14.5546875" customWidth="1"/>
    <col min="4359" max="4359" width="16.5546875" customWidth="1"/>
    <col min="4360" max="4360" width="14.5546875" customWidth="1"/>
    <col min="4361" max="4361" width="11.5546875" customWidth="1"/>
    <col min="4362" max="4362" width="12.88671875" customWidth="1"/>
    <col min="4363" max="4364" width="13.5546875" customWidth="1"/>
    <col min="4365" max="4365" width="13.44140625" bestFit="1" customWidth="1"/>
    <col min="4609" max="4609" width="6.109375" customWidth="1"/>
    <col min="4610" max="4610" width="28.109375" customWidth="1"/>
    <col min="4611" max="4611" width="13.88671875" customWidth="1"/>
    <col min="4612" max="4612" width="14.5546875" customWidth="1"/>
    <col min="4613" max="4613" width="15.5546875" customWidth="1"/>
    <col min="4614" max="4614" width="14.5546875" customWidth="1"/>
    <col min="4615" max="4615" width="16.5546875" customWidth="1"/>
    <col min="4616" max="4616" width="14.5546875" customWidth="1"/>
    <col min="4617" max="4617" width="11.5546875" customWidth="1"/>
    <col min="4618" max="4618" width="12.88671875" customWidth="1"/>
    <col min="4619" max="4620" width="13.5546875" customWidth="1"/>
    <col min="4621" max="4621" width="13.44140625" bestFit="1" customWidth="1"/>
    <col min="4865" max="4865" width="6.109375" customWidth="1"/>
    <col min="4866" max="4866" width="28.109375" customWidth="1"/>
    <col min="4867" max="4867" width="13.88671875" customWidth="1"/>
    <col min="4868" max="4868" width="14.5546875" customWidth="1"/>
    <col min="4869" max="4869" width="15.5546875" customWidth="1"/>
    <col min="4870" max="4870" width="14.5546875" customWidth="1"/>
    <col min="4871" max="4871" width="16.5546875" customWidth="1"/>
    <col min="4872" max="4872" width="14.5546875" customWidth="1"/>
    <col min="4873" max="4873" width="11.5546875" customWidth="1"/>
    <col min="4874" max="4874" width="12.88671875" customWidth="1"/>
    <col min="4875" max="4876" width="13.5546875" customWidth="1"/>
    <col min="4877" max="4877" width="13.44140625" bestFit="1" customWidth="1"/>
    <col min="5121" max="5121" width="6.109375" customWidth="1"/>
    <col min="5122" max="5122" width="28.109375" customWidth="1"/>
    <col min="5123" max="5123" width="13.88671875" customWidth="1"/>
    <col min="5124" max="5124" width="14.5546875" customWidth="1"/>
    <col min="5125" max="5125" width="15.5546875" customWidth="1"/>
    <col min="5126" max="5126" width="14.5546875" customWidth="1"/>
    <col min="5127" max="5127" width="16.5546875" customWidth="1"/>
    <col min="5128" max="5128" width="14.5546875" customWidth="1"/>
    <col min="5129" max="5129" width="11.5546875" customWidth="1"/>
    <col min="5130" max="5130" width="12.88671875" customWidth="1"/>
    <col min="5131" max="5132" width="13.5546875" customWidth="1"/>
    <col min="5133" max="5133" width="13.44140625" bestFit="1" customWidth="1"/>
    <col min="5377" max="5377" width="6.109375" customWidth="1"/>
    <col min="5378" max="5378" width="28.109375" customWidth="1"/>
    <col min="5379" max="5379" width="13.88671875" customWidth="1"/>
    <col min="5380" max="5380" width="14.5546875" customWidth="1"/>
    <col min="5381" max="5381" width="15.5546875" customWidth="1"/>
    <col min="5382" max="5382" width="14.5546875" customWidth="1"/>
    <col min="5383" max="5383" width="16.5546875" customWidth="1"/>
    <col min="5384" max="5384" width="14.5546875" customWidth="1"/>
    <col min="5385" max="5385" width="11.5546875" customWidth="1"/>
    <col min="5386" max="5386" width="12.88671875" customWidth="1"/>
    <col min="5387" max="5388" width="13.5546875" customWidth="1"/>
    <col min="5389" max="5389" width="13.44140625" bestFit="1" customWidth="1"/>
    <col min="5633" max="5633" width="6.109375" customWidth="1"/>
    <col min="5634" max="5634" width="28.109375" customWidth="1"/>
    <col min="5635" max="5635" width="13.88671875" customWidth="1"/>
    <col min="5636" max="5636" width="14.5546875" customWidth="1"/>
    <col min="5637" max="5637" width="15.5546875" customWidth="1"/>
    <col min="5638" max="5638" width="14.5546875" customWidth="1"/>
    <col min="5639" max="5639" width="16.5546875" customWidth="1"/>
    <col min="5640" max="5640" width="14.5546875" customWidth="1"/>
    <col min="5641" max="5641" width="11.5546875" customWidth="1"/>
    <col min="5642" max="5642" width="12.88671875" customWidth="1"/>
    <col min="5643" max="5644" width="13.5546875" customWidth="1"/>
    <col min="5645" max="5645" width="13.44140625" bestFit="1" customWidth="1"/>
    <col min="5889" max="5889" width="6.109375" customWidth="1"/>
    <col min="5890" max="5890" width="28.109375" customWidth="1"/>
    <col min="5891" max="5891" width="13.88671875" customWidth="1"/>
    <col min="5892" max="5892" width="14.5546875" customWidth="1"/>
    <col min="5893" max="5893" width="15.5546875" customWidth="1"/>
    <col min="5894" max="5894" width="14.5546875" customWidth="1"/>
    <col min="5895" max="5895" width="16.5546875" customWidth="1"/>
    <col min="5896" max="5896" width="14.5546875" customWidth="1"/>
    <col min="5897" max="5897" width="11.5546875" customWidth="1"/>
    <col min="5898" max="5898" width="12.88671875" customWidth="1"/>
    <col min="5899" max="5900" width="13.5546875" customWidth="1"/>
    <col min="5901" max="5901" width="13.44140625" bestFit="1" customWidth="1"/>
    <col min="6145" max="6145" width="6.109375" customWidth="1"/>
    <col min="6146" max="6146" width="28.109375" customWidth="1"/>
    <col min="6147" max="6147" width="13.88671875" customWidth="1"/>
    <col min="6148" max="6148" width="14.5546875" customWidth="1"/>
    <col min="6149" max="6149" width="15.5546875" customWidth="1"/>
    <col min="6150" max="6150" width="14.5546875" customWidth="1"/>
    <col min="6151" max="6151" width="16.5546875" customWidth="1"/>
    <col min="6152" max="6152" width="14.5546875" customWidth="1"/>
    <col min="6153" max="6153" width="11.5546875" customWidth="1"/>
    <col min="6154" max="6154" width="12.88671875" customWidth="1"/>
    <col min="6155" max="6156" width="13.5546875" customWidth="1"/>
    <col min="6157" max="6157" width="13.44140625" bestFit="1" customWidth="1"/>
    <col min="6401" max="6401" width="6.109375" customWidth="1"/>
    <col min="6402" max="6402" width="28.109375" customWidth="1"/>
    <col min="6403" max="6403" width="13.88671875" customWidth="1"/>
    <col min="6404" max="6404" width="14.5546875" customWidth="1"/>
    <col min="6405" max="6405" width="15.5546875" customWidth="1"/>
    <col min="6406" max="6406" width="14.5546875" customWidth="1"/>
    <col min="6407" max="6407" width="16.5546875" customWidth="1"/>
    <col min="6408" max="6408" width="14.5546875" customWidth="1"/>
    <col min="6409" max="6409" width="11.5546875" customWidth="1"/>
    <col min="6410" max="6410" width="12.88671875" customWidth="1"/>
    <col min="6411" max="6412" width="13.5546875" customWidth="1"/>
    <col min="6413" max="6413" width="13.44140625" bestFit="1" customWidth="1"/>
    <col min="6657" max="6657" width="6.109375" customWidth="1"/>
    <col min="6658" max="6658" width="28.109375" customWidth="1"/>
    <col min="6659" max="6659" width="13.88671875" customWidth="1"/>
    <col min="6660" max="6660" width="14.5546875" customWidth="1"/>
    <col min="6661" max="6661" width="15.5546875" customWidth="1"/>
    <col min="6662" max="6662" width="14.5546875" customWidth="1"/>
    <col min="6663" max="6663" width="16.5546875" customWidth="1"/>
    <col min="6664" max="6664" width="14.5546875" customWidth="1"/>
    <col min="6665" max="6665" width="11.5546875" customWidth="1"/>
    <col min="6666" max="6666" width="12.88671875" customWidth="1"/>
    <col min="6667" max="6668" width="13.5546875" customWidth="1"/>
    <col min="6669" max="6669" width="13.44140625" bestFit="1" customWidth="1"/>
    <col min="6913" max="6913" width="6.109375" customWidth="1"/>
    <col min="6914" max="6914" width="28.109375" customWidth="1"/>
    <col min="6915" max="6915" width="13.88671875" customWidth="1"/>
    <col min="6916" max="6916" width="14.5546875" customWidth="1"/>
    <col min="6917" max="6917" width="15.5546875" customWidth="1"/>
    <col min="6918" max="6918" width="14.5546875" customWidth="1"/>
    <col min="6919" max="6919" width="16.5546875" customWidth="1"/>
    <col min="6920" max="6920" width="14.5546875" customWidth="1"/>
    <col min="6921" max="6921" width="11.5546875" customWidth="1"/>
    <col min="6922" max="6922" width="12.88671875" customWidth="1"/>
    <col min="6923" max="6924" width="13.5546875" customWidth="1"/>
    <col min="6925" max="6925" width="13.44140625" bestFit="1" customWidth="1"/>
    <col min="7169" max="7169" width="6.109375" customWidth="1"/>
    <col min="7170" max="7170" width="28.109375" customWidth="1"/>
    <col min="7171" max="7171" width="13.88671875" customWidth="1"/>
    <col min="7172" max="7172" width="14.5546875" customWidth="1"/>
    <col min="7173" max="7173" width="15.5546875" customWidth="1"/>
    <col min="7174" max="7174" width="14.5546875" customWidth="1"/>
    <col min="7175" max="7175" width="16.5546875" customWidth="1"/>
    <col min="7176" max="7176" width="14.5546875" customWidth="1"/>
    <col min="7177" max="7177" width="11.5546875" customWidth="1"/>
    <col min="7178" max="7178" width="12.88671875" customWidth="1"/>
    <col min="7179" max="7180" width="13.5546875" customWidth="1"/>
    <col min="7181" max="7181" width="13.44140625" bestFit="1" customWidth="1"/>
    <col min="7425" max="7425" width="6.109375" customWidth="1"/>
    <col min="7426" max="7426" width="28.109375" customWidth="1"/>
    <col min="7427" max="7427" width="13.88671875" customWidth="1"/>
    <col min="7428" max="7428" width="14.5546875" customWidth="1"/>
    <col min="7429" max="7429" width="15.5546875" customWidth="1"/>
    <col min="7430" max="7430" width="14.5546875" customWidth="1"/>
    <col min="7431" max="7431" width="16.5546875" customWidth="1"/>
    <col min="7432" max="7432" width="14.5546875" customWidth="1"/>
    <col min="7433" max="7433" width="11.5546875" customWidth="1"/>
    <col min="7434" max="7434" width="12.88671875" customWidth="1"/>
    <col min="7435" max="7436" width="13.5546875" customWidth="1"/>
    <col min="7437" max="7437" width="13.44140625" bestFit="1" customWidth="1"/>
    <col min="7681" max="7681" width="6.109375" customWidth="1"/>
    <col min="7682" max="7682" width="28.109375" customWidth="1"/>
    <col min="7683" max="7683" width="13.88671875" customWidth="1"/>
    <col min="7684" max="7684" width="14.5546875" customWidth="1"/>
    <col min="7685" max="7685" width="15.5546875" customWidth="1"/>
    <col min="7686" max="7686" width="14.5546875" customWidth="1"/>
    <col min="7687" max="7687" width="16.5546875" customWidth="1"/>
    <col min="7688" max="7688" width="14.5546875" customWidth="1"/>
    <col min="7689" max="7689" width="11.5546875" customWidth="1"/>
    <col min="7690" max="7690" width="12.88671875" customWidth="1"/>
    <col min="7691" max="7692" width="13.5546875" customWidth="1"/>
    <col min="7693" max="7693" width="13.44140625" bestFit="1" customWidth="1"/>
    <col min="7937" max="7937" width="6.109375" customWidth="1"/>
    <col min="7938" max="7938" width="28.109375" customWidth="1"/>
    <col min="7939" max="7939" width="13.88671875" customWidth="1"/>
    <col min="7940" max="7940" width="14.5546875" customWidth="1"/>
    <col min="7941" max="7941" width="15.5546875" customWidth="1"/>
    <col min="7942" max="7942" width="14.5546875" customWidth="1"/>
    <col min="7943" max="7943" width="16.5546875" customWidth="1"/>
    <col min="7944" max="7944" width="14.5546875" customWidth="1"/>
    <col min="7945" max="7945" width="11.5546875" customWidth="1"/>
    <col min="7946" max="7946" width="12.88671875" customWidth="1"/>
    <col min="7947" max="7948" width="13.5546875" customWidth="1"/>
    <col min="7949" max="7949" width="13.44140625" bestFit="1" customWidth="1"/>
    <col min="8193" max="8193" width="6.109375" customWidth="1"/>
    <col min="8194" max="8194" width="28.109375" customWidth="1"/>
    <col min="8195" max="8195" width="13.88671875" customWidth="1"/>
    <col min="8196" max="8196" width="14.5546875" customWidth="1"/>
    <col min="8197" max="8197" width="15.5546875" customWidth="1"/>
    <col min="8198" max="8198" width="14.5546875" customWidth="1"/>
    <col min="8199" max="8199" width="16.5546875" customWidth="1"/>
    <col min="8200" max="8200" width="14.5546875" customWidth="1"/>
    <col min="8201" max="8201" width="11.5546875" customWidth="1"/>
    <col min="8202" max="8202" width="12.88671875" customWidth="1"/>
    <col min="8203" max="8204" width="13.5546875" customWidth="1"/>
    <col min="8205" max="8205" width="13.44140625" bestFit="1" customWidth="1"/>
    <col min="8449" max="8449" width="6.109375" customWidth="1"/>
    <col min="8450" max="8450" width="28.109375" customWidth="1"/>
    <col min="8451" max="8451" width="13.88671875" customWidth="1"/>
    <col min="8452" max="8452" width="14.5546875" customWidth="1"/>
    <col min="8453" max="8453" width="15.5546875" customWidth="1"/>
    <col min="8454" max="8454" width="14.5546875" customWidth="1"/>
    <col min="8455" max="8455" width="16.5546875" customWidth="1"/>
    <col min="8456" max="8456" width="14.5546875" customWidth="1"/>
    <col min="8457" max="8457" width="11.5546875" customWidth="1"/>
    <col min="8458" max="8458" width="12.88671875" customWidth="1"/>
    <col min="8459" max="8460" width="13.5546875" customWidth="1"/>
    <col min="8461" max="8461" width="13.44140625" bestFit="1" customWidth="1"/>
    <col min="8705" max="8705" width="6.109375" customWidth="1"/>
    <col min="8706" max="8706" width="28.109375" customWidth="1"/>
    <col min="8707" max="8707" width="13.88671875" customWidth="1"/>
    <col min="8708" max="8708" width="14.5546875" customWidth="1"/>
    <col min="8709" max="8709" width="15.5546875" customWidth="1"/>
    <col min="8710" max="8710" width="14.5546875" customWidth="1"/>
    <col min="8711" max="8711" width="16.5546875" customWidth="1"/>
    <col min="8712" max="8712" width="14.5546875" customWidth="1"/>
    <col min="8713" max="8713" width="11.5546875" customWidth="1"/>
    <col min="8714" max="8714" width="12.88671875" customWidth="1"/>
    <col min="8715" max="8716" width="13.5546875" customWidth="1"/>
    <col min="8717" max="8717" width="13.44140625" bestFit="1" customWidth="1"/>
    <col min="8961" max="8961" width="6.109375" customWidth="1"/>
    <col min="8962" max="8962" width="28.109375" customWidth="1"/>
    <col min="8963" max="8963" width="13.88671875" customWidth="1"/>
    <col min="8964" max="8964" width="14.5546875" customWidth="1"/>
    <col min="8965" max="8965" width="15.5546875" customWidth="1"/>
    <col min="8966" max="8966" width="14.5546875" customWidth="1"/>
    <col min="8967" max="8967" width="16.5546875" customWidth="1"/>
    <col min="8968" max="8968" width="14.5546875" customWidth="1"/>
    <col min="8969" max="8969" width="11.5546875" customWidth="1"/>
    <col min="8970" max="8970" width="12.88671875" customWidth="1"/>
    <col min="8971" max="8972" width="13.5546875" customWidth="1"/>
    <col min="8973" max="8973" width="13.44140625" bestFit="1" customWidth="1"/>
    <col min="9217" max="9217" width="6.109375" customWidth="1"/>
    <col min="9218" max="9218" width="28.109375" customWidth="1"/>
    <col min="9219" max="9219" width="13.88671875" customWidth="1"/>
    <col min="9220" max="9220" width="14.5546875" customWidth="1"/>
    <col min="9221" max="9221" width="15.5546875" customWidth="1"/>
    <col min="9222" max="9222" width="14.5546875" customWidth="1"/>
    <col min="9223" max="9223" width="16.5546875" customWidth="1"/>
    <col min="9224" max="9224" width="14.5546875" customWidth="1"/>
    <col min="9225" max="9225" width="11.5546875" customWidth="1"/>
    <col min="9226" max="9226" width="12.88671875" customWidth="1"/>
    <col min="9227" max="9228" width="13.5546875" customWidth="1"/>
    <col min="9229" max="9229" width="13.44140625" bestFit="1" customWidth="1"/>
    <col min="9473" max="9473" width="6.109375" customWidth="1"/>
    <col min="9474" max="9474" width="28.109375" customWidth="1"/>
    <col min="9475" max="9475" width="13.88671875" customWidth="1"/>
    <col min="9476" max="9476" width="14.5546875" customWidth="1"/>
    <col min="9477" max="9477" width="15.5546875" customWidth="1"/>
    <col min="9478" max="9478" width="14.5546875" customWidth="1"/>
    <col min="9479" max="9479" width="16.5546875" customWidth="1"/>
    <col min="9480" max="9480" width="14.5546875" customWidth="1"/>
    <col min="9481" max="9481" width="11.5546875" customWidth="1"/>
    <col min="9482" max="9482" width="12.88671875" customWidth="1"/>
    <col min="9483" max="9484" width="13.5546875" customWidth="1"/>
    <col min="9485" max="9485" width="13.44140625" bestFit="1" customWidth="1"/>
    <col min="9729" max="9729" width="6.109375" customWidth="1"/>
    <col min="9730" max="9730" width="28.109375" customWidth="1"/>
    <col min="9731" max="9731" width="13.88671875" customWidth="1"/>
    <col min="9732" max="9732" width="14.5546875" customWidth="1"/>
    <col min="9733" max="9733" width="15.5546875" customWidth="1"/>
    <col min="9734" max="9734" width="14.5546875" customWidth="1"/>
    <col min="9735" max="9735" width="16.5546875" customWidth="1"/>
    <col min="9736" max="9736" width="14.5546875" customWidth="1"/>
    <col min="9737" max="9737" width="11.5546875" customWidth="1"/>
    <col min="9738" max="9738" width="12.88671875" customWidth="1"/>
    <col min="9739" max="9740" width="13.5546875" customWidth="1"/>
    <col min="9741" max="9741" width="13.44140625" bestFit="1" customWidth="1"/>
    <col min="9985" max="9985" width="6.109375" customWidth="1"/>
    <col min="9986" max="9986" width="28.109375" customWidth="1"/>
    <col min="9987" max="9987" width="13.88671875" customWidth="1"/>
    <col min="9988" max="9988" width="14.5546875" customWidth="1"/>
    <col min="9989" max="9989" width="15.5546875" customWidth="1"/>
    <col min="9990" max="9990" width="14.5546875" customWidth="1"/>
    <col min="9991" max="9991" width="16.5546875" customWidth="1"/>
    <col min="9992" max="9992" width="14.5546875" customWidth="1"/>
    <col min="9993" max="9993" width="11.5546875" customWidth="1"/>
    <col min="9994" max="9994" width="12.88671875" customWidth="1"/>
    <col min="9995" max="9996" width="13.5546875" customWidth="1"/>
    <col min="9997" max="9997" width="13.44140625" bestFit="1" customWidth="1"/>
    <col min="10241" max="10241" width="6.109375" customWidth="1"/>
    <col min="10242" max="10242" width="28.109375" customWidth="1"/>
    <col min="10243" max="10243" width="13.88671875" customWidth="1"/>
    <col min="10244" max="10244" width="14.5546875" customWidth="1"/>
    <col min="10245" max="10245" width="15.5546875" customWidth="1"/>
    <col min="10246" max="10246" width="14.5546875" customWidth="1"/>
    <col min="10247" max="10247" width="16.5546875" customWidth="1"/>
    <col min="10248" max="10248" width="14.5546875" customWidth="1"/>
    <col min="10249" max="10249" width="11.5546875" customWidth="1"/>
    <col min="10250" max="10250" width="12.88671875" customWidth="1"/>
    <col min="10251" max="10252" width="13.5546875" customWidth="1"/>
    <col min="10253" max="10253" width="13.44140625" bestFit="1" customWidth="1"/>
    <col min="10497" max="10497" width="6.109375" customWidth="1"/>
    <col min="10498" max="10498" width="28.109375" customWidth="1"/>
    <col min="10499" max="10499" width="13.88671875" customWidth="1"/>
    <col min="10500" max="10500" width="14.5546875" customWidth="1"/>
    <col min="10501" max="10501" width="15.5546875" customWidth="1"/>
    <col min="10502" max="10502" width="14.5546875" customWidth="1"/>
    <col min="10503" max="10503" width="16.5546875" customWidth="1"/>
    <col min="10504" max="10504" width="14.5546875" customWidth="1"/>
    <col min="10505" max="10505" width="11.5546875" customWidth="1"/>
    <col min="10506" max="10506" width="12.88671875" customWidth="1"/>
    <col min="10507" max="10508" width="13.5546875" customWidth="1"/>
    <col min="10509" max="10509" width="13.44140625" bestFit="1" customWidth="1"/>
    <col min="10753" max="10753" width="6.109375" customWidth="1"/>
    <col min="10754" max="10754" width="28.109375" customWidth="1"/>
    <col min="10755" max="10755" width="13.88671875" customWidth="1"/>
    <col min="10756" max="10756" width="14.5546875" customWidth="1"/>
    <col min="10757" max="10757" width="15.5546875" customWidth="1"/>
    <col min="10758" max="10758" width="14.5546875" customWidth="1"/>
    <col min="10759" max="10759" width="16.5546875" customWidth="1"/>
    <col min="10760" max="10760" width="14.5546875" customWidth="1"/>
    <col min="10761" max="10761" width="11.5546875" customWidth="1"/>
    <col min="10762" max="10762" width="12.88671875" customWidth="1"/>
    <col min="10763" max="10764" width="13.5546875" customWidth="1"/>
    <col min="10765" max="10765" width="13.44140625" bestFit="1" customWidth="1"/>
    <col min="11009" max="11009" width="6.109375" customWidth="1"/>
    <col min="11010" max="11010" width="28.109375" customWidth="1"/>
    <col min="11011" max="11011" width="13.88671875" customWidth="1"/>
    <col min="11012" max="11012" width="14.5546875" customWidth="1"/>
    <col min="11013" max="11013" width="15.5546875" customWidth="1"/>
    <col min="11014" max="11014" width="14.5546875" customWidth="1"/>
    <col min="11015" max="11015" width="16.5546875" customWidth="1"/>
    <col min="11016" max="11016" width="14.5546875" customWidth="1"/>
    <col min="11017" max="11017" width="11.5546875" customWidth="1"/>
    <col min="11018" max="11018" width="12.88671875" customWidth="1"/>
    <col min="11019" max="11020" width="13.5546875" customWidth="1"/>
    <col min="11021" max="11021" width="13.44140625" bestFit="1" customWidth="1"/>
    <col min="11265" max="11265" width="6.109375" customWidth="1"/>
    <col min="11266" max="11266" width="28.109375" customWidth="1"/>
    <col min="11267" max="11267" width="13.88671875" customWidth="1"/>
    <col min="11268" max="11268" width="14.5546875" customWidth="1"/>
    <col min="11269" max="11269" width="15.5546875" customWidth="1"/>
    <col min="11270" max="11270" width="14.5546875" customWidth="1"/>
    <col min="11271" max="11271" width="16.5546875" customWidth="1"/>
    <col min="11272" max="11272" width="14.5546875" customWidth="1"/>
    <col min="11273" max="11273" width="11.5546875" customWidth="1"/>
    <col min="11274" max="11274" width="12.88671875" customWidth="1"/>
    <col min="11275" max="11276" width="13.5546875" customWidth="1"/>
    <col min="11277" max="11277" width="13.44140625" bestFit="1" customWidth="1"/>
    <col min="11521" max="11521" width="6.109375" customWidth="1"/>
    <col min="11522" max="11522" width="28.109375" customWidth="1"/>
    <col min="11523" max="11523" width="13.88671875" customWidth="1"/>
    <col min="11524" max="11524" width="14.5546875" customWidth="1"/>
    <col min="11525" max="11525" width="15.5546875" customWidth="1"/>
    <col min="11526" max="11526" width="14.5546875" customWidth="1"/>
    <col min="11527" max="11527" width="16.5546875" customWidth="1"/>
    <col min="11528" max="11528" width="14.5546875" customWidth="1"/>
    <col min="11529" max="11529" width="11.5546875" customWidth="1"/>
    <col min="11530" max="11530" width="12.88671875" customWidth="1"/>
    <col min="11531" max="11532" width="13.5546875" customWidth="1"/>
    <col min="11533" max="11533" width="13.44140625" bestFit="1" customWidth="1"/>
    <col min="11777" max="11777" width="6.109375" customWidth="1"/>
    <col min="11778" max="11778" width="28.109375" customWidth="1"/>
    <col min="11779" max="11779" width="13.88671875" customWidth="1"/>
    <col min="11780" max="11780" width="14.5546875" customWidth="1"/>
    <col min="11781" max="11781" width="15.5546875" customWidth="1"/>
    <col min="11782" max="11782" width="14.5546875" customWidth="1"/>
    <col min="11783" max="11783" width="16.5546875" customWidth="1"/>
    <col min="11784" max="11784" width="14.5546875" customWidth="1"/>
    <col min="11785" max="11785" width="11.5546875" customWidth="1"/>
    <col min="11786" max="11786" width="12.88671875" customWidth="1"/>
    <col min="11787" max="11788" width="13.5546875" customWidth="1"/>
    <col min="11789" max="11789" width="13.44140625" bestFit="1" customWidth="1"/>
    <col min="12033" max="12033" width="6.109375" customWidth="1"/>
    <col min="12034" max="12034" width="28.109375" customWidth="1"/>
    <col min="12035" max="12035" width="13.88671875" customWidth="1"/>
    <col min="12036" max="12036" width="14.5546875" customWidth="1"/>
    <col min="12037" max="12037" width="15.5546875" customWidth="1"/>
    <col min="12038" max="12038" width="14.5546875" customWidth="1"/>
    <col min="12039" max="12039" width="16.5546875" customWidth="1"/>
    <col min="12040" max="12040" width="14.5546875" customWidth="1"/>
    <col min="12041" max="12041" width="11.5546875" customWidth="1"/>
    <col min="12042" max="12042" width="12.88671875" customWidth="1"/>
    <col min="12043" max="12044" width="13.5546875" customWidth="1"/>
    <col min="12045" max="12045" width="13.44140625" bestFit="1" customWidth="1"/>
    <col min="12289" max="12289" width="6.109375" customWidth="1"/>
    <col min="12290" max="12290" width="28.109375" customWidth="1"/>
    <col min="12291" max="12291" width="13.88671875" customWidth="1"/>
    <col min="12292" max="12292" width="14.5546875" customWidth="1"/>
    <col min="12293" max="12293" width="15.5546875" customWidth="1"/>
    <col min="12294" max="12294" width="14.5546875" customWidth="1"/>
    <col min="12295" max="12295" width="16.5546875" customWidth="1"/>
    <col min="12296" max="12296" width="14.5546875" customWidth="1"/>
    <col min="12297" max="12297" width="11.5546875" customWidth="1"/>
    <col min="12298" max="12298" width="12.88671875" customWidth="1"/>
    <col min="12299" max="12300" width="13.5546875" customWidth="1"/>
    <col min="12301" max="12301" width="13.44140625" bestFit="1" customWidth="1"/>
    <col min="12545" max="12545" width="6.109375" customWidth="1"/>
    <col min="12546" max="12546" width="28.109375" customWidth="1"/>
    <col min="12547" max="12547" width="13.88671875" customWidth="1"/>
    <col min="12548" max="12548" width="14.5546875" customWidth="1"/>
    <col min="12549" max="12549" width="15.5546875" customWidth="1"/>
    <col min="12550" max="12550" width="14.5546875" customWidth="1"/>
    <col min="12551" max="12551" width="16.5546875" customWidth="1"/>
    <col min="12552" max="12552" width="14.5546875" customWidth="1"/>
    <col min="12553" max="12553" width="11.5546875" customWidth="1"/>
    <col min="12554" max="12554" width="12.88671875" customWidth="1"/>
    <col min="12555" max="12556" width="13.5546875" customWidth="1"/>
    <col min="12557" max="12557" width="13.44140625" bestFit="1" customWidth="1"/>
    <col min="12801" max="12801" width="6.109375" customWidth="1"/>
    <col min="12802" max="12802" width="28.109375" customWidth="1"/>
    <col min="12803" max="12803" width="13.88671875" customWidth="1"/>
    <col min="12804" max="12804" width="14.5546875" customWidth="1"/>
    <col min="12805" max="12805" width="15.5546875" customWidth="1"/>
    <col min="12806" max="12806" width="14.5546875" customWidth="1"/>
    <col min="12807" max="12807" width="16.5546875" customWidth="1"/>
    <col min="12808" max="12808" width="14.5546875" customWidth="1"/>
    <col min="12809" max="12809" width="11.5546875" customWidth="1"/>
    <col min="12810" max="12810" width="12.88671875" customWidth="1"/>
    <col min="12811" max="12812" width="13.5546875" customWidth="1"/>
    <col min="12813" max="12813" width="13.44140625" bestFit="1" customWidth="1"/>
    <col min="13057" max="13057" width="6.109375" customWidth="1"/>
    <col min="13058" max="13058" width="28.109375" customWidth="1"/>
    <col min="13059" max="13059" width="13.88671875" customWidth="1"/>
    <col min="13060" max="13060" width="14.5546875" customWidth="1"/>
    <col min="13061" max="13061" width="15.5546875" customWidth="1"/>
    <col min="13062" max="13062" width="14.5546875" customWidth="1"/>
    <col min="13063" max="13063" width="16.5546875" customWidth="1"/>
    <col min="13064" max="13064" width="14.5546875" customWidth="1"/>
    <col min="13065" max="13065" width="11.5546875" customWidth="1"/>
    <col min="13066" max="13066" width="12.88671875" customWidth="1"/>
    <col min="13067" max="13068" width="13.5546875" customWidth="1"/>
    <col min="13069" max="13069" width="13.44140625" bestFit="1" customWidth="1"/>
    <col min="13313" max="13313" width="6.109375" customWidth="1"/>
    <col min="13314" max="13314" width="28.109375" customWidth="1"/>
    <col min="13315" max="13315" width="13.88671875" customWidth="1"/>
    <col min="13316" max="13316" width="14.5546875" customWidth="1"/>
    <col min="13317" max="13317" width="15.5546875" customWidth="1"/>
    <col min="13318" max="13318" width="14.5546875" customWidth="1"/>
    <col min="13319" max="13319" width="16.5546875" customWidth="1"/>
    <col min="13320" max="13320" width="14.5546875" customWidth="1"/>
    <col min="13321" max="13321" width="11.5546875" customWidth="1"/>
    <col min="13322" max="13322" width="12.88671875" customWidth="1"/>
    <col min="13323" max="13324" width="13.5546875" customWidth="1"/>
    <col min="13325" max="13325" width="13.44140625" bestFit="1" customWidth="1"/>
    <col min="13569" max="13569" width="6.109375" customWidth="1"/>
    <col min="13570" max="13570" width="28.109375" customWidth="1"/>
    <col min="13571" max="13571" width="13.88671875" customWidth="1"/>
    <col min="13572" max="13572" width="14.5546875" customWidth="1"/>
    <col min="13573" max="13573" width="15.5546875" customWidth="1"/>
    <col min="13574" max="13574" width="14.5546875" customWidth="1"/>
    <col min="13575" max="13575" width="16.5546875" customWidth="1"/>
    <col min="13576" max="13576" width="14.5546875" customWidth="1"/>
    <col min="13577" max="13577" width="11.5546875" customWidth="1"/>
    <col min="13578" max="13578" width="12.88671875" customWidth="1"/>
    <col min="13579" max="13580" width="13.5546875" customWidth="1"/>
    <col min="13581" max="13581" width="13.44140625" bestFit="1" customWidth="1"/>
    <col min="13825" max="13825" width="6.109375" customWidth="1"/>
    <col min="13826" max="13826" width="28.109375" customWidth="1"/>
    <col min="13827" max="13827" width="13.88671875" customWidth="1"/>
    <col min="13828" max="13828" width="14.5546875" customWidth="1"/>
    <col min="13829" max="13829" width="15.5546875" customWidth="1"/>
    <col min="13830" max="13830" width="14.5546875" customWidth="1"/>
    <col min="13831" max="13831" width="16.5546875" customWidth="1"/>
    <col min="13832" max="13832" width="14.5546875" customWidth="1"/>
    <col min="13833" max="13833" width="11.5546875" customWidth="1"/>
    <col min="13834" max="13834" width="12.88671875" customWidth="1"/>
    <col min="13835" max="13836" width="13.5546875" customWidth="1"/>
    <col min="13837" max="13837" width="13.44140625" bestFit="1" customWidth="1"/>
    <col min="14081" max="14081" width="6.109375" customWidth="1"/>
    <col min="14082" max="14082" width="28.109375" customWidth="1"/>
    <col min="14083" max="14083" width="13.88671875" customWidth="1"/>
    <col min="14084" max="14084" width="14.5546875" customWidth="1"/>
    <col min="14085" max="14085" width="15.5546875" customWidth="1"/>
    <col min="14086" max="14086" width="14.5546875" customWidth="1"/>
    <col min="14087" max="14087" width="16.5546875" customWidth="1"/>
    <col min="14088" max="14088" width="14.5546875" customWidth="1"/>
    <col min="14089" max="14089" width="11.5546875" customWidth="1"/>
    <col min="14090" max="14090" width="12.88671875" customWidth="1"/>
    <col min="14091" max="14092" width="13.5546875" customWidth="1"/>
    <col min="14093" max="14093" width="13.44140625" bestFit="1" customWidth="1"/>
    <col min="14337" max="14337" width="6.109375" customWidth="1"/>
    <col min="14338" max="14338" width="28.109375" customWidth="1"/>
    <col min="14339" max="14339" width="13.88671875" customWidth="1"/>
    <col min="14340" max="14340" width="14.5546875" customWidth="1"/>
    <col min="14341" max="14341" width="15.5546875" customWidth="1"/>
    <col min="14342" max="14342" width="14.5546875" customWidth="1"/>
    <col min="14343" max="14343" width="16.5546875" customWidth="1"/>
    <col min="14344" max="14344" width="14.5546875" customWidth="1"/>
    <col min="14345" max="14345" width="11.5546875" customWidth="1"/>
    <col min="14346" max="14346" width="12.88671875" customWidth="1"/>
    <col min="14347" max="14348" width="13.5546875" customWidth="1"/>
    <col min="14349" max="14349" width="13.44140625" bestFit="1" customWidth="1"/>
    <col min="14593" max="14593" width="6.109375" customWidth="1"/>
    <col min="14594" max="14594" width="28.109375" customWidth="1"/>
    <col min="14595" max="14595" width="13.88671875" customWidth="1"/>
    <col min="14596" max="14596" width="14.5546875" customWidth="1"/>
    <col min="14597" max="14597" width="15.5546875" customWidth="1"/>
    <col min="14598" max="14598" width="14.5546875" customWidth="1"/>
    <col min="14599" max="14599" width="16.5546875" customWidth="1"/>
    <col min="14600" max="14600" width="14.5546875" customWidth="1"/>
    <col min="14601" max="14601" width="11.5546875" customWidth="1"/>
    <col min="14602" max="14602" width="12.88671875" customWidth="1"/>
    <col min="14603" max="14604" width="13.5546875" customWidth="1"/>
    <col min="14605" max="14605" width="13.44140625" bestFit="1" customWidth="1"/>
    <col min="14849" max="14849" width="6.109375" customWidth="1"/>
    <col min="14850" max="14850" width="28.109375" customWidth="1"/>
    <col min="14851" max="14851" width="13.88671875" customWidth="1"/>
    <col min="14852" max="14852" width="14.5546875" customWidth="1"/>
    <col min="14853" max="14853" width="15.5546875" customWidth="1"/>
    <col min="14854" max="14854" width="14.5546875" customWidth="1"/>
    <col min="14855" max="14855" width="16.5546875" customWidth="1"/>
    <col min="14856" max="14856" width="14.5546875" customWidth="1"/>
    <col min="14857" max="14857" width="11.5546875" customWidth="1"/>
    <col min="14858" max="14858" width="12.88671875" customWidth="1"/>
    <col min="14859" max="14860" width="13.5546875" customWidth="1"/>
    <col min="14861" max="14861" width="13.44140625" bestFit="1" customWidth="1"/>
    <col min="15105" max="15105" width="6.109375" customWidth="1"/>
    <col min="15106" max="15106" width="28.109375" customWidth="1"/>
    <col min="15107" max="15107" width="13.88671875" customWidth="1"/>
    <col min="15108" max="15108" width="14.5546875" customWidth="1"/>
    <col min="15109" max="15109" width="15.5546875" customWidth="1"/>
    <col min="15110" max="15110" width="14.5546875" customWidth="1"/>
    <col min="15111" max="15111" width="16.5546875" customWidth="1"/>
    <col min="15112" max="15112" width="14.5546875" customWidth="1"/>
    <col min="15113" max="15113" width="11.5546875" customWidth="1"/>
    <col min="15114" max="15114" width="12.88671875" customWidth="1"/>
    <col min="15115" max="15116" width="13.5546875" customWidth="1"/>
    <col min="15117" max="15117" width="13.44140625" bestFit="1" customWidth="1"/>
    <col min="15361" max="15361" width="6.109375" customWidth="1"/>
    <col min="15362" max="15362" width="28.109375" customWidth="1"/>
    <col min="15363" max="15363" width="13.88671875" customWidth="1"/>
    <col min="15364" max="15364" width="14.5546875" customWidth="1"/>
    <col min="15365" max="15365" width="15.5546875" customWidth="1"/>
    <col min="15366" max="15366" width="14.5546875" customWidth="1"/>
    <col min="15367" max="15367" width="16.5546875" customWidth="1"/>
    <col min="15368" max="15368" width="14.5546875" customWidth="1"/>
    <col min="15369" max="15369" width="11.5546875" customWidth="1"/>
    <col min="15370" max="15370" width="12.88671875" customWidth="1"/>
    <col min="15371" max="15372" width="13.5546875" customWidth="1"/>
    <col min="15373" max="15373" width="13.44140625" bestFit="1" customWidth="1"/>
    <col min="15617" max="15617" width="6.109375" customWidth="1"/>
    <col min="15618" max="15618" width="28.109375" customWidth="1"/>
    <col min="15619" max="15619" width="13.88671875" customWidth="1"/>
    <col min="15620" max="15620" width="14.5546875" customWidth="1"/>
    <col min="15621" max="15621" width="15.5546875" customWidth="1"/>
    <col min="15622" max="15622" width="14.5546875" customWidth="1"/>
    <col min="15623" max="15623" width="16.5546875" customWidth="1"/>
    <col min="15624" max="15624" width="14.5546875" customWidth="1"/>
    <col min="15625" max="15625" width="11.5546875" customWidth="1"/>
    <col min="15626" max="15626" width="12.88671875" customWidth="1"/>
    <col min="15627" max="15628" width="13.5546875" customWidth="1"/>
    <col min="15629" max="15629" width="13.44140625" bestFit="1" customWidth="1"/>
    <col min="15873" max="15873" width="6.109375" customWidth="1"/>
    <col min="15874" max="15874" width="28.109375" customWidth="1"/>
    <col min="15875" max="15875" width="13.88671875" customWidth="1"/>
    <col min="15876" max="15876" width="14.5546875" customWidth="1"/>
    <col min="15877" max="15877" width="15.5546875" customWidth="1"/>
    <col min="15878" max="15878" width="14.5546875" customWidth="1"/>
    <col min="15879" max="15879" width="16.5546875" customWidth="1"/>
    <col min="15880" max="15880" width="14.5546875" customWidth="1"/>
    <col min="15881" max="15881" width="11.5546875" customWidth="1"/>
    <col min="15882" max="15882" width="12.88671875" customWidth="1"/>
    <col min="15883" max="15884" width="13.5546875" customWidth="1"/>
    <col min="15885" max="15885" width="13.44140625" bestFit="1" customWidth="1"/>
    <col min="16129" max="16129" width="6.109375" customWidth="1"/>
    <col min="16130" max="16130" width="28.109375" customWidth="1"/>
    <col min="16131" max="16131" width="13.88671875" customWidth="1"/>
    <col min="16132" max="16132" width="14.5546875" customWidth="1"/>
    <col min="16133" max="16133" width="15.5546875" customWidth="1"/>
    <col min="16134" max="16134" width="14.5546875" customWidth="1"/>
    <col min="16135" max="16135" width="16.5546875" customWidth="1"/>
    <col min="16136" max="16136" width="14.5546875" customWidth="1"/>
    <col min="16137" max="16137" width="11.5546875" customWidth="1"/>
    <col min="16138" max="16138" width="12.88671875" customWidth="1"/>
    <col min="16139" max="16140" width="13.5546875" customWidth="1"/>
    <col min="16141" max="16141" width="13.44140625" bestFit="1" customWidth="1"/>
  </cols>
  <sheetData>
    <row r="1" spans="1:14" ht="18" x14ac:dyDescent="0.35">
      <c r="B1" s="29" t="s">
        <v>396</v>
      </c>
    </row>
    <row r="2" spans="1:14" ht="18" x14ac:dyDescent="0.35">
      <c r="B2" s="299"/>
    </row>
    <row r="4" spans="1:14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1"/>
      <c r="L4" s="31"/>
      <c r="M4" s="30"/>
      <c r="N4" s="32"/>
    </row>
    <row r="5" spans="1:14" s="40" customFormat="1" x14ac:dyDescent="0.3">
      <c r="A5" s="33"/>
      <c r="B5" s="908" t="s">
        <v>236</v>
      </c>
      <c r="C5" s="34" t="s">
        <v>1</v>
      </c>
      <c r="D5" s="35" t="s">
        <v>2</v>
      </c>
      <c r="E5" s="36" t="s">
        <v>3</v>
      </c>
      <c r="F5" s="36" t="s">
        <v>4</v>
      </c>
      <c r="G5" s="36" t="s">
        <v>5</v>
      </c>
      <c r="H5" s="36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8"/>
      <c r="N5" s="39"/>
    </row>
    <row r="6" spans="1:14" ht="91.35" customHeight="1" x14ac:dyDescent="0.3">
      <c r="A6" s="41" t="s">
        <v>189</v>
      </c>
      <c r="B6" s="909"/>
      <c r="C6" s="42" t="s">
        <v>190</v>
      </c>
      <c r="D6" s="36" t="s">
        <v>12</v>
      </c>
      <c r="E6" s="36" t="s">
        <v>13</v>
      </c>
      <c r="F6" s="36" t="s">
        <v>14</v>
      </c>
      <c r="G6" s="36" t="s">
        <v>15</v>
      </c>
      <c r="H6" s="36" t="s">
        <v>191</v>
      </c>
      <c r="I6" s="43" t="s">
        <v>17</v>
      </c>
      <c r="J6" s="43" t="s">
        <v>18</v>
      </c>
      <c r="K6" s="43" t="s">
        <v>19</v>
      </c>
      <c r="L6" s="43" t="s">
        <v>360</v>
      </c>
      <c r="M6" s="36" t="s">
        <v>193</v>
      </c>
      <c r="N6" s="32"/>
    </row>
    <row r="7" spans="1:14" s="40" customFormat="1" x14ac:dyDescent="0.3">
      <c r="A7" s="44"/>
      <c r="B7" s="123"/>
      <c r="C7" s="90"/>
      <c r="D7" s="90"/>
      <c r="E7" s="90"/>
      <c r="F7" s="90"/>
      <c r="G7" s="90"/>
      <c r="H7" s="90"/>
      <c r="I7" s="90"/>
      <c r="J7" s="90"/>
      <c r="K7" s="90"/>
      <c r="L7" s="90"/>
      <c r="M7" s="92"/>
      <c r="N7" s="39"/>
    </row>
    <row r="8" spans="1:14" x14ac:dyDescent="0.3">
      <c r="A8" s="51"/>
      <c r="B8" s="52" t="s">
        <v>397</v>
      </c>
      <c r="C8" s="50">
        <f>I25</f>
        <v>9992270.5699999984</v>
      </c>
      <c r="D8" s="49">
        <v>1147547.69</v>
      </c>
      <c r="E8" s="50">
        <v>20637.25</v>
      </c>
      <c r="F8" s="50">
        <v>21244.98</v>
      </c>
      <c r="G8" s="50">
        <v>50120.65</v>
      </c>
      <c r="H8" s="50">
        <v>21556.86</v>
      </c>
      <c r="I8" s="50">
        <v>40066.199999999997</v>
      </c>
      <c r="J8" s="50">
        <v>7998.18</v>
      </c>
      <c r="K8" s="50">
        <v>581853.28</v>
      </c>
      <c r="L8" s="50">
        <v>404070.29</v>
      </c>
      <c r="M8" s="19">
        <v>78</v>
      </c>
      <c r="N8" s="32"/>
    </row>
    <row r="9" spans="1:14" x14ac:dyDescent="0.3">
      <c r="A9" s="30"/>
      <c r="B9" s="30"/>
      <c r="C9" s="30"/>
      <c r="D9" s="55"/>
      <c r="E9" s="30"/>
      <c r="F9" s="30"/>
      <c r="G9" s="30"/>
      <c r="H9" s="30"/>
      <c r="I9" s="30"/>
      <c r="J9" s="30"/>
      <c r="K9" s="31"/>
      <c r="L9" s="31"/>
      <c r="N9" s="32"/>
    </row>
    <row r="10" spans="1:14" x14ac:dyDescent="0.3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1"/>
      <c r="L10" s="31"/>
      <c r="M10" s="30"/>
      <c r="N10" s="32"/>
    </row>
    <row r="11" spans="1:14" x14ac:dyDescent="0.3">
      <c r="A11" s="30"/>
      <c r="B11" s="95" t="s">
        <v>197</v>
      </c>
      <c r="C11" s="30"/>
      <c r="D11" s="30"/>
      <c r="E11" s="30"/>
      <c r="F11" s="30"/>
      <c r="G11" s="30"/>
      <c r="H11" s="30"/>
      <c r="I11" s="30"/>
      <c r="J11" s="95"/>
      <c r="K11" s="30"/>
      <c r="L11" s="30"/>
      <c r="M11" s="30"/>
    </row>
    <row r="12" spans="1:14" s="40" customFormat="1" ht="57.6" x14ac:dyDescent="0.3">
      <c r="A12" s="17" t="s">
        <v>189</v>
      </c>
      <c r="B12" s="23" t="s">
        <v>361</v>
      </c>
      <c r="C12" s="23" t="s">
        <v>199</v>
      </c>
      <c r="D12" s="23" t="s">
        <v>200</v>
      </c>
      <c r="E12" s="23" t="s">
        <v>201</v>
      </c>
      <c r="F12" s="23" t="s">
        <v>202</v>
      </c>
      <c r="G12" s="23" t="s">
        <v>53</v>
      </c>
      <c r="H12" s="23" t="s">
        <v>203</v>
      </c>
      <c r="I12" s="23" t="s">
        <v>398</v>
      </c>
      <c r="K12" s="89"/>
      <c r="L12" s="96"/>
      <c r="M12" s="96"/>
    </row>
    <row r="13" spans="1:14" s="24" customFormat="1" ht="43.2" x14ac:dyDescent="0.3">
      <c r="A13" s="17"/>
      <c r="B13" s="23" t="s">
        <v>399</v>
      </c>
      <c r="C13" s="23">
        <v>1981</v>
      </c>
      <c r="D13" s="23">
        <v>2014</v>
      </c>
      <c r="E13" s="78" t="s">
        <v>400</v>
      </c>
      <c r="F13" s="78" t="s">
        <v>401</v>
      </c>
      <c r="G13" s="300">
        <v>7161</v>
      </c>
      <c r="H13" s="97">
        <v>3</v>
      </c>
      <c r="I13" s="78">
        <f>G13*1200</f>
        <v>8593200</v>
      </c>
      <c r="J13"/>
      <c r="K13" s="99"/>
    </row>
    <row r="14" spans="1:14" s="24" customFormat="1" x14ac:dyDescent="0.3">
      <c r="A14" s="17"/>
      <c r="B14" s="23"/>
      <c r="C14" s="23"/>
      <c r="D14" s="23">
        <v>1997</v>
      </c>
      <c r="E14" s="78" t="s">
        <v>402</v>
      </c>
      <c r="F14" s="78"/>
      <c r="G14" s="23"/>
      <c r="H14" s="97"/>
      <c r="I14" s="78"/>
      <c r="J14"/>
      <c r="K14" s="99"/>
    </row>
    <row r="15" spans="1:14" s="24" customFormat="1" x14ac:dyDescent="0.3">
      <c r="A15" s="17"/>
      <c r="B15" s="23" t="s">
        <v>403</v>
      </c>
      <c r="C15" s="23">
        <v>2000</v>
      </c>
      <c r="D15" s="23" t="s">
        <v>127</v>
      </c>
      <c r="E15" s="78" t="s">
        <v>127</v>
      </c>
      <c r="F15" s="78"/>
      <c r="G15" s="23"/>
      <c r="H15" s="97"/>
      <c r="I15" s="78">
        <v>15899.29</v>
      </c>
      <c r="J15"/>
      <c r="K15" s="99"/>
    </row>
    <row r="16" spans="1:14" s="24" customFormat="1" x14ac:dyDescent="0.3">
      <c r="A16" s="17"/>
      <c r="B16" s="23" t="s">
        <v>404</v>
      </c>
      <c r="C16" s="23">
        <v>2001</v>
      </c>
      <c r="D16" s="23"/>
      <c r="E16" s="78"/>
      <c r="F16" s="78"/>
      <c r="G16" s="23"/>
      <c r="H16" s="97"/>
      <c r="I16" s="78">
        <v>2966.7</v>
      </c>
      <c r="J16"/>
      <c r="K16" s="99"/>
    </row>
    <row r="17" spans="1:14" s="1" customFormat="1" ht="28.8" x14ac:dyDescent="0.3">
      <c r="A17" s="17"/>
      <c r="B17" s="23"/>
      <c r="C17" s="23"/>
      <c r="D17" s="23">
        <v>2014</v>
      </c>
      <c r="E17" s="23" t="s">
        <v>405</v>
      </c>
      <c r="F17" s="23"/>
      <c r="G17" s="23"/>
      <c r="H17" s="97"/>
      <c r="I17" s="78">
        <v>1380204.58</v>
      </c>
      <c r="J17"/>
    </row>
    <row r="18" spans="1:14" s="24" customFormat="1" ht="43.2" x14ac:dyDescent="0.3">
      <c r="A18" s="17"/>
      <c r="B18" s="23"/>
      <c r="C18" s="23"/>
      <c r="D18" s="23">
        <v>2007</v>
      </c>
      <c r="E18" s="23" t="s">
        <v>406</v>
      </c>
      <c r="F18" s="23"/>
      <c r="G18" s="23"/>
      <c r="H18" s="97"/>
      <c r="I18" s="78"/>
      <c r="J18"/>
    </row>
    <row r="19" spans="1:14" s="24" customFormat="1" ht="28.8" x14ac:dyDescent="0.3">
      <c r="A19" s="17"/>
      <c r="B19" s="23"/>
      <c r="C19" s="23"/>
      <c r="D19" s="23">
        <v>2011</v>
      </c>
      <c r="E19" s="23" t="s">
        <v>407</v>
      </c>
      <c r="F19" s="23"/>
      <c r="G19" s="23"/>
      <c r="H19" s="97"/>
      <c r="I19" s="78"/>
      <c r="J19"/>
    </row>
    <row r="20" spans="1:14" s="24" customFormat="1" ht="28.8" x14ac:dyDescent="0.3">
      <c r="A20" s="17"/>
      <c r="B20" s="23"/>
      <c r="C20" s="23"/>
      <c r="D20" s="23">
        <v>2012</v>
      </c>
      <c r="E20" s="23" t="s">
        <v>408</v>
      </c>
      <c r="F20" s="23"/>
      <c r="G20" s="23"/>
      <c r="H20" s="97"/>
      <c r="I20" s="78"/>
      <c r="J20"/>
    </row>
    <row r="21" spans="1:14" s="24" customFormat="1" ht="43.2" x14ac:dyDescent="0.3">
      <c r="A21" s="17"/>
      <c r="B21" s="23"/>
      <c r="C21" s="23"/>
      <c r="D21" s="23">
        <v>2013</v>
      </c>
      <c r="E21" s="23" t="s">
        <v>409</v>
      </c>
      <c r="F21" s="23"/>
      <c r="G21" s="23"/>
      <c r="H21" s="97"/>
      <c r="I21" s="78"/>
      <c r="J21"/>
    </row>
    <row r="22" spans="1:14" s="24" customFormat="1" ht="43.2" x14ac:dyDescent="0.3">
      <c r="A22" s="17"/>
      <c r="B22" s="23"/>
      <c r="C22" s="23"/>
      <c r="D22" s="23">
        <v>2013</v>
      </c>
      <c r="E22" s="23" t="s">
        <v>410</v>
      </c>
      <c r="F22" s="23"/>
      <c r="G22" s="23"/>
      <c r="H22" s="97"/>
      <c r="I22" s="78"/>
      <c r="J22"/>
    </row>
    <row r="23" spans="1:14" s="1" customFormat="1" ht="28.8" x14ac:dyDescent="0.3">
      <c r="A23" s="17"/>
      <c r="B23" s="23"/>
      <c r="C23" s="23"/>
      <c r="D23" s="23">
        <v>2014</v>
      </c>
      <c r="E23" s="23" t="s">
        <v>411</v>
      </c>
      <c r="F23" s="23"/>
      <c r="G23" s="23"/>
      <c r="H23" s="97"/>
      <c r="I23" s="78"/>
      <c r="J23"/>
    </row>
    <row r="24" spans="1:14" s="1" customFormat="1" ht="72" x14ac:dyDescent="0.3">
      <c r="A24" s="17"/>
      <c r="B24" s="23"/>
      <c r="C24" s="23"/>
      <c r="D24" s="23">
        <v>2014</v>
      </c>
      <c r="E24" s="23" t="s">
        <v>412</v>
      </c>
      <c r="F24" s="23"/>
      <c r="G24" s="23"/>
      <c r="H24" s="97"/>
      <c r="I24" s="78"/>
      <c r="J24"/>
    </row>
    <row r="25" spans="1:14" ht="38.1" customHeight="1" x14ac:dyDescent="0.3">
      <c r="B25" s="32"/>
      <c r="C25" s="57"/>
      <c r="D25" s="57"/>
      <c r="E25" s="57"/>
      <c r="F25" s="57"/>
      <c r="G25" s="57"/>
      <c r="H25" s="301" t="s">
        <v>413</v>
      </c>
      <c r="I25" s="57">
        <f>SUM(I13:I24)</f>
        <v>9992270.5699999984</v>
      </c>
      <c r="J25" s="57"/>
      <c r="K25" s="57"/>
      <c r="L25" s="57"/>
      <c r="M25" s="57"/>
      <c r="N25" s="57"/>
    </row>
    <row r="26" spans="1:14" ht="38.1" customHeight="1" thickBot="1" x14ac:dyDescent="0.35">
      <c r="A26" s="320" t="s">
        <v>607</v>
      </c>
      <c r="B26" s="56"/>
      <c r="D26" s="56"/>
      <c r="K26" s="1"/>
      <c r="L26" s="1"/>
      <c r="M26" s="1"/>
      <c r="N26" s="57"/>
    </row>
    <row r="27" spans="1:14" ht="15" thickBot="1" x14ac:dyDescent="0.35">
      <c r="A27" s="872" t="s">
        <v>37</v>
      </c>
      <c r="B27" s="934"/>
      <c r="C27" s="934"/>
      <c r="D27" s="934"/>
      <c r="E27" s="934"/>
      <c r="F27" s="934"/>
      <c r="G27" s="934"/>
      <c r="H27" s="934"/>
      <c r="I27" s="934"/>
      <c r="J27" s="935"/>
      <c r="K27" s="2"/>
      <c r="L27" s="3" t="s">
        <v>38</v>
      </c>
      <c r="M27" s="4"/>
      <c r="N27" s="5"/>
    </row>
    <row r="28" spans="1:14" ht="97.2" thickBot="1" x14ac:dyDescent="0.35">
      <c r="A28" s="100"/>
      <c r="B28" s="101" t="s">
        <v>40</v>
      </c>
      <c r="C28" s="899" t="s">
        <v>41</v>
      </c>
      <c r="D28" s="900"/>
      <c r="E28" s="901" t="s">
        <v>42</v>
      </c>
      <c r="F28" s="902"/>
      <c r="G28" s="899" t="s">
        <v>43</v>
      </c>
      <c r="H28" s="900"/>
      <c r="I28" s="7" t="s">
        <v>132</v>
      </c>
      <c r="J28" s="7" t="s">
        <v>2348</v>
      </c>
      <c r="K28" s="7" t="s">
        <v>208</v>
      </c>
      <c r="L28" s="8" t="s">
        <v>45</v>
      </c>
      <c r="M28" s="7" t="s">
        <v>46</v>
      </c>
      <c r="N28" s="6" t="s">
        <v>39</v>
      </c>
    </row>
    <row r="29" spans="1:14" x14ac:dyDescent="0.3">
      <c r="A29" s="9"/>
      <c r="B29" s="10"/>
      <c r="C29" s="11" t="s">
        <v>48</v>
      </c>
      <c r="D29" s="12" t="s">
        <v>49</v>
      </c>
      <c r="E29" s="13" t="s">
        <v>48</v>
      </c>
      <c r="F29" s="13" t="s">
        <v>49</v>
      </c>
      <c r="G29" s="12" t="s">
        <v>48</v>
      </c>
      <c r="H29" s="12" t="s">
        <v>49</v>
      </c>
      <c r="I29" s="14"/>
      <c r="J29" s="14"/>
      <c r="K29" s="103"/>
      <c r="L29" s="12"/>
      <c r="M29" s="12"/>
      <c r="N29" s="15"/>
    </row>
    <row r="30" spans="1:14" x14ac:dyDescent="0.3">
      <c r="A30" s="105"/>
      <c r="B30" s="106" t="s">
        <v>397</v>
      </c>
      <c r="C30" s="70">
        <v>30000</v>
      </c>
      <c r="D30" s="70">
        <v>10000</v>
      </c>
      <c r="E30" s="16">
        <v>6000</v>
      </c>
      <c r="F30" s="16">
        <v>6000</v>
      </c>
      <c r="G30" s="16">
        <v>30000</v>
      </c>
      <c r="H30" s="16">
        <v>10000</v>
      </c>
      <c r="I30" s="16">
        <v>2000</v>
      </c>
      <c r="J30" s="16">
        <v>1500</v>
      </c>
      <c r="K30" s="16">
        <v>2000</v>
      </c>
      <c r="L30" s="16">
        <v>0</v>
      </c>
      <c r="M30" s="16">
        <v>0</v>
      </c>
      <c r="N30" s="16">
        <v>2000</v>
      </c>
    </row>
    <row r="37" spans="3:3" x14ac:dyDescent="0.3">
      <c r="C37" s="26"/>
    </row>
  </sheetData>
  <mergeCells count="5">
    <mergeCell ref="B5:B6"/>
    <mergeCell ref="C28:D28"/>
    <mergeCell ref="E28:F28"/>
    <mergeCell ref="G28:H28"/>
    <mergeCell ref="A27:J27"/>
  </mergeCells>
  <pageMargins left="0.25" right="0.22" top="0.74803149606299213" bottom="0.74803149606299213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8AD9E-47D5-48B6-875A-30BFBCB29EA6}">
  <dimension ref="A1:S6"/>
  <sheetViews>
    <sheetView workbookViewId="0">
      <selection activeCell="H15" sqref="H15"/>
    </sheetView>
  </sheetViews>
  <sheetFormatPr defaultRowHeight="14.4" x14ac:dyDescent="0.3"/>
  <cols>
    <col min="2" max="2" width="12.88671875" customWidth="1"/>
    <col min="3" max="3" width="13" customWidth="1"/>
    <col min="4" max="4" width="19.44140625" customWidth="1"/>
    <col min="5" max="5" width="18" customWidth="1"/>
    <col min="6" max="6" width="4.44140625" customWidth="1"/>
    <col min="7" max="7" width="6" customWidth="1"/>
    <col min="8" max="8" width="6.33203125" customWidth="1"/>
    <col min="11" max="11" width="7.109375" customWidth="1"/>
    <col min="12" max="12" width="4.109375" customWidth="1"/>
    <col min="13" max="13" width="4.44140625" customWidth="1"/>
    <col min="14" max="14" width="5.109375" customWidth="1"/>
    <col min="16" max="16" width="14.44140625" customWidth="1"/>
  </cols>
  <sheetData>
    <row r="1" spans="1:19" x14ac:dyDescent="0.3">
      <c r="A1" s="21" t="s">
        <v>414</v>
      </c>
    </row>
    <row r="5" spans="1:19" ht="43.2" x14ac:dyDescent="0.3">
      <c r="A5" s="17" t="s">
        <v>137</v>
      </c>
      <c r="B5" s="23" t="s">
        <v>138</v>
      </c>
      <c r="C5" s="23" t="s">
        <v>139</v>
      </c>
      <c r="D5" s="23" t="s">
        <v>140</v>
      </c>
      <c r="E5" s="23" t="s">
        <v>141</v>
      </c>
      <c r="F5" s="23" t="s">
        <v>142</v>
      </c>
      <c r="G5" s="23" t="s">
        <v>143</v>
      </c>
      <c r="H5" s="23" t="s">
        <v>144</v>
      </c>
      <c r="I5" s="23" t="s">
        <v>145</v>
      </c>
      <c r="J5" s="23" t="s">
        <v>146</v>
      </c>
      <c r="K5" s="23" t="s">
        <v>147</v>
      </c>
      <c r="L5" s="23" t="s">
        <v>148</v>
      </c>
      <c r="M5" s="23" t="s">
        <v>149</v>
      </c>
      <c r="N5" s="23" t="s">
        <v>150</v>
      </c>
      <c r="O5" s="23" t="s">
        <v>151</v>
      </c>
      <c r="P5" s="23" t="s">
        <v>152</v>
      </c>
      <c r="Q5" s="23" t="s">
        <v>153</v>
      </c>
      <c r="R5" s="23" t="s">
        <v>154</v>
      </c>
      <c r="S5" s="23" t="s">
        <v>221</v>
      </c>
    </row>
    <row r="6" spans="1:19" ht="43.2" x14ac:dyDescent="0.3">
      <c r="A6" s="17">
        <v>1</v>
      </c>
      <c r="B6" s="17" t="s">
        <v>415</v>
      </c>
      <c r="C6" s="17" t="s">
        <v>156</v>
      </c>
      <c r="D6" s="17" t="s">
        <v>416</v>
      </c>
      <c r="E6" s="23" t="s">
        <v>417</v>
      </c>
      <c r="F6" s="17">
        <v>47</v>
      </c>
      <c r="G6" s="17"/>
      <c r="H6" s="17">
        <v>9</v>
      </c>
      <c r="I6" s="17"/>
      <c r="J6" s="18">
        <v>20637.25</v>
      </c>
      <c r="K6" s="17">
        <v>1995</v>
      </c>
      <c r="L6" s="17" t="s">
        <v>159</v>
      </c>
      <c r="M6" s="17" t="s">
        <v>159</v>
      </c>
      <c r="N6" s="17" t="s">
        <v>160</v>
      </c>
      <c r="O6" s="80">
        <v>0.01</v>
      </c>
      <c r="P6" s="23" t="s">
        <v>160</v>
      </c>
      <c r="Q6" s="17" t="s">
        <v>159</v>
      </c>
      <c r="R6" s="17" t="s">
        <v>159</v>
      </c>
      <c r="S6" s="17" t="s">
        <v>160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29799-4FF6-402E-9F61-E413047743C1}">
  <sheetPr>
    <pageSetUpPr fitToPage="1"/>
  </sheetPr>
  <dimension ref="A2:R26"/>
  <sheetViews>
    <sheetView topLeftCell="C16" zoomScale="85" zoomScaleNormal="85" workbookViewId="0">
      <selection activeCell="P37" sqref="P37"/>
    </sheetView>
  </sheetViews>
  <sheetFormatPr defaultRowHeight="14.4" x14ac:dyDescent="0.3"/>
  <cols>
    <col min="1" max="1" width="6.109375" customWidth="1"/>
    <col min="2" max="2" width="28.109375" customWidth="1"/>
    <col min="3" max="3" width="13.88671875" customWidth="1"/>
    <col min="4" max="4" width="15.5546875" customWidth="1"/>
    <col min="5" max="5" width="14.5546875" customWidth="1"/>
    <col min="6" max="6" width="16.5546875" customWidth="1"/>
    <col min="7" max="7" width="14.5546875" customWidth="1"/>
    <col min="8" max="8" width="13.44140625" customWidth="1"/>
    <col min="9" max="9" width="14.6640625" bestFit="1" customWidth="1"/>
    <col min="10" max="10" width="12.88671875" customWidth="1"/>
    <col min="11" max="11" width="13.5546875" customWidth="1"/>
    <col min="12" max="12" width="12.88671875" customWidth="1"/>
    <col min="16" max="16" width="9.5546875" bestFit="1" customWidth="1"/>
    <col min="17" max="17" width="12.5546875" customWidth="1"/>
    <col min="18" max="18" width="12.77734375" customWidth="1"/>
    <col min="246" max="246" width="6.109375" customWidth="1"/>
    <col min="247" max="247" width="28.109375" customWidth="1"/>
    <col min="248" max="248" width="13.88671875" customWidth="1"/>
    <col min="249" max="249" width="14.5546875" customWidth="1"/>
    <col min="250" max="250" width="15.5546875" customWidth="1"/>
    <col min="251" max="251" width="14.5546875" customWidth="1"/>
    <col min="252" max="252" width="16.5546875" customWidth="1"/>
    <col min="253" max="253" width="14.5546875" customWidth="1"/>
    <col min="254" max="254" width="11.5546875" customWidth="1"/>
    <col min="255" max="255" width="12.88671875" customWidth="1"/>
    <col min="256" max="257" width="13.5546875" customWidth="1"/>
    <col min="258" max="258" width="13.44140625" bestFit="1" customWidth="1"/>
    <col min="502" max="502" width="6.109375" customWidth="1"/>
    <col min="503" max="503" width="28.109375" customWidth="1"/>
    <col min="504" max="504" width="13.88671875" customWidth="1"/>
    <col min="505" max="505" width="14.5546875" customWidth="1"/>
    <col min="506" max="506" width="15.5546875" customWidth="1"/>
    <col min="507" max="507" width="14.5546875" customWidth="1"/>
    <col min="508" max="508" width="16.5546875" customWidth="1"/>
    <col min="509" max="509" width="14.5546875" customWidth="1"/>
    <col min="510" max="510" width="11.5546875" customWidth="1"/>
    <col min="511" max="511" width="12.88671875" customWidth="1"/>
    <col min="512" max="513" width="13.5546875" customWidth="1"/>
    <col min="514" max="514" width="13.44140625" bestFit="1" customWidth="1"/>
    <col min="758" max="758" width="6.109375" customWidth="1"/>
    <col min="759" max="759" width="28.109375" customWidth="1"/>
    <col min="760" max="760" width="13.88671875" customWidth="1"/>
    <col min="761" max="761" width="14.5546875" customWidth="1"/>
    <col min="762" max="762" width="15.5546875" customWidth="1"/>
    <col min="763" max="763" width="14.5546875" customWidth="1"/>
    <col min="764" max="764" width="16.5546875" customWidth="1"/>
    <col min="765" max="765" width="14.5546875" customWidth="1"/>
    <col min="766" max="766" width="11.5546875" customWidth="1"/>
    <col min="767" max="767" width="12.88671875" customWidth="1"/>
    <col min="768" max="769" width="13.5546875" customWidth="1"/>
    <col min="770" max="770" width="13.44140625" bestFit="1" customWidth="1"/>
    <col min="1014" max="1014" width="6.109375" customWidth="1"/>
    <col min="1015" max="1015" width="28.109375" customWidth="1"/>
    <col min="1016" max="1016" width="13.88671875" customWidth="1"/>
    <col min="1017" max="1017" width="14.5546875" customWidth="1"/>
    <col min="1018" max="1018" width="15.5546875" customWidth="1"/>
    <col min="1019" max="1019" width="14.5546875" customWidth="1"/>
    <col min="1020" max="1020" width="16.5546875" customWidth="1"/>
    <col min="1021" max="1021" width="14.5546875" customWidth="1"/>
    <col min="1022" max="1022" width="11.5546875" customWidth="1"/>
    <col min="1023" max="1023" width="12.88671875" customWidth="1"/>
    <col min="1024" max="1025" width="13.5546875" customWidth="1"/>
    <col min="1026" max="1026" width="13.44140625" bestFit="1" customWidth="1"/>
    <col min="1270" max="1270" width="6.109375" customWidth="1"/>
    <col min="1271" max="1271" width="28.109375" customWidth="1"/>
    <col min="1272" max="1272" width="13.88671875" customWidth="1"/>
    <col min="1273" max="1273" width="14.5546875" customWidth="1"/>
    <col min="1274" max="1274" width="15.5546875" customWidth="1"/>
    <col min="1275" max="1275" width="14.5546875" customWidth="1"/>
    <col min="1276" max="1276" width="16.5546875" customWidth="1"/>
    <col min="1277" max="1277" width="14.5546875" customWidth="1"/>
    <col min="1278" max="1278" width="11.5546875" customWidth="1"/>
    <col min="1279" max="1279" width="12.88671875" customWidth="1"/>
    <col min="1280" max="1281" width="13.5546875" customWidth="1"/>
    <col min="1282" max="1282" width="13.44140625" bestFit="1" customWidth="1"/>
    <col min="1526" max="1526" width="6.109375" customWidth="1"/>
    <col min="1527" max="1527" width="28.109375" customWidth="1"/>
    <col min="1528" max="1528" width="13.88671875" customWidth="1"/>
    <col min="1529" max="1529" width="14.5546875" customWidth="1"/>
    <col min="1530" max="1530" width="15.5546875" customWidth="1"/>
    <col min="1531" max="1531" width="14.5546875" customWidth="1"/>
    <col min="1532" max="1532" width="16.5546875" customWidth="1"/>
    <col min="1533" max="1533" width="14.5546875" customWidth="1"/>
    <col min="1534" max="1534" width="11.5546875" customWidth="1"/>
    <col min="1535" max="1535" width="12.88671875" customWidth="1"/>
    <col min="1536" max="1537" width="13.5546875" customWidth="1"/>
    <col min="1538" max="1538" width="13.44140625" bestFit="1" customWidth="1"/>
    <col min="1782" max="1782" width="6.109375" customWidth="1"/>
    <col min="1783" max="1783" width="28.109375" customWidth="1"/>
    <col min="1784" max="1784" width="13.88671875" customWidth="1"/>
    <col min="1785" max="1785" width="14.5546875" customWidth="1"/>
    <col min="1786" max="1786" width="15.5546875" customWidth="1"/>
    <col min="1787" max="1787" width="14.5546875" customWidth="1"/>
    <col min="1788" max="1788" width="16.5546875" customWidth="1"/>
    <col min="1789" max="1789" width="14.5546875" customWidth="1"/>
    <col min="1790" max="1790" width="11.5546875" customWidth="1"/>
    <col min="1791" max="1791" width="12.88671875" customWidth="1"/>
    <col min="1792" max="1793" width="13.5546875" customWidth="1"/>
    <col min="1794" max="1794" width="13.44140625" bestFit="1" customWidth="1"/>
    <col min="2038" max="2038" width="6.109375" customWidth="1"/>
    <col min="2039" max="2039" width="28.109375" customWidth="1"/>
    <col min="2040" max="2040" width="13.88671875" customWidth="1"/>
    <col min="2041" max="2041" width="14.5546875" customWidth="1"/>
    <col min="2042" max="2042" width="15.5546875" customWidth="1"/>
    <col min="2043" max="2043" width="14.5546875" customWidth="1"/>
    <col min="2044" max="2044" width="16.5546875" customWidth="1"/>
    <col min="2045" max="2045" width="14.5546875" customWidth="1"/>
    <col min="2046" max="2046" width="11.5546875" customWidth="1"/>
    <col min="2047" max="2047" width="12.88671875" customWidth="1"/>
    <col min="2048" max="2049" width="13.5546875" customWidth="1"/>
    <col min="2050" max="2050" width="13.44140625" bestFit="1" customWidth="1"/>
    <col min="2294" max="2294" width="6.109375" customWidth="1"/>
    <col min="2295" max="2295" width="28.109375" customWidth="1"/>
    <col min="2296" max="2296" width="13.88671875" customWidth="1"/>
    <col min="2297" max="2297" width="14.5546875" customWidth="1"/>
    <col min="2298" max="2298" width="15.5546875" customWidth="1"/>
    <col min="2299" max="2299" width="14.5546875" customWidth="1"/>
    <col min="2300" max="2300" width="16.5546875" customWidth="1"/>
    <col min="2301" max="2301" width="14.5546875" customWidth="1"/>
    <col min="2302" max="2302" width="11.5546875" customWidth="1"/>
    <col min="2303" max="2303" width="12.88671875" customWidth="1"/>
    <col min="2304" max="2305" width="13.5546875" customWidth="1"/>
    <col min="2306" max="2306" width="13.44140625" bestFit="1" customWidth="1"/>
    <col min="2550" max="2550" width="6.109375" customWidth="1"/>
    <col min="2551" max="2551" width="28.109375" customWidth="1"/>
    <col min="2552" max="2552" width="13.88671875" customWidth="1"/>
    <col min="2553" max="2553" width="14.5546875" customWidth="1"/>
    <col min="2554" max="2554" width="15.5546875" customWidth="1"/>
    <col min="2555" max="2555" width="14.5546875" customWidth="1"/>
    <col min="2556" max="2556" width="16.5546875" customWidth="1"/>
    <col min="2557" max="2557" width="14.5546875" customWidth="1"/>
    <col min="2558" max="2558" width="11.5546875" customWidth="1"/>
    <col min="2559" max="2559" width="12.88671875" customWidth="1"/>
    <col min="2560" max="2561" width="13.5546875" customWidth="1"/>
    <col min="2562" max="2562" width="13.44140625" bestFit="1" customWidth="1"/>
    <col min="2806" max="2806" width="6.109375" customWidth="1"/>
    <col min="2807" max="2807" width="28.109375" customWidth="1"/>
    <col min="2808" max="2808" width="13.88671875" customWidth="1"/>
    <col min="2809" max="2809" width="14.5546875" customWidth="1"/>
    <col min="2810" max="2810" width="15.5546875" customWidth="1"/>
    <col min="2811" max="2811" width="14.5546875" customWidth="1"/>
    <col min="2812" max="2812" width="16.5546875" customWidth="1"/>
    <col min="2813" max="2813" width="14.5546875" customWidth="1"/>
    <col min="2814" max="2814" width="11.5546875" customWidth="1"/>
    <col min="2815" max="2815" width="12.88671875" customWidth="1"/>
    <col min="2816" max="2817" width="13.5546875" customWidth="1"/>
    <col min="2818" max="2818" width="13.44140625" bestFit="1" customWidth="1"/>
    <col min="3062" max="3062" width="6.109375" customWidth="1"/>
    <col min="3063" max="3063" width="28.109375" customWidth="1"/>
    <col min="3064" max="3064" width="13.88671875" customWidth="1"/>
    <col min="3065" max="3065" width="14.5546875" customWidth="1"/>
    <col min="3066" max="3066" width="15.5546875" customWidth="1"/>
    <col min="3067" max="3067" width="14.5546875" customWidth="1"/>
    <col min="3068" max="3068" width="16.5546875" customWidth="1"/>
    <col min="3069" max="3069" width="14.5546875" customWidth="1"/>
    <col min="3070" max="3070" width="11.5546875" customWidth="1"/>
    <col min="3071" max="3071" width="12.88671875" customWidth="1"/>
    <col min="3072" max="3073" width="13.5546875" customWidth="1"/>
    <col min="3074" max="3074" width="13.44140625" bestFit="1" customWidth="1"/>
    <col min="3318" max="3318" width="6.109375" customWidth="1"/>
    <col min="3319" max="3319" width="28.109375" customWidth="1"/>
    <col min="3320" max="3320" width="13.88671875" customWidth="1"/>
    <col min="3321" max="3321" width="14.5546875" customWidth="1"/>
    <col min="3322" max="3322" width="15.5546875" customWidth="1"/>
    <col min="3323" max="3323" width="14.5546875" customWidth="1"/>
    <col min="3324" max="3324" width="16.5546875" customWidth="1"/>
    <col min="3325" max="3325" width="14.5546875" customWidth="1"/>
    <col min="3326" max="3326" width="11.5546875" customWidth="1"/>
    <col min="3327" max="3327" width="12.88671875" customWidth="1"/>
    <col min="3328" max="3329" width="13.5546875" customWidth="1"/>
    <col min="3330" max="3330" width="13.44140625" bestFit="1" customWidth="1"/>
    <col min="3574" max="3574" width="6.109375" customWidth="1"/>
    <col min="3575" max="3575" width="28.109375" customWidth="1"/>
    <col min="3576" max="3576" width="13.88671875" customWidth="1"/>
    <col min="3577" max="3577" width="14.5546875" customWidth="1"/>
    <col min="3578" max="3578" width="15.5546875" customWidth="1"/>
    <col min="3579" max="3579" width="14.5546875" customWidth="1"/>
    <col min="3580" max="3580" width="16.5546875" customWidth="1"/>
    <col min="3581" max="3581" width="14.5546875" customWidth="1"/>
    <col min="3582" max="3582" width="11.5546875" customWidth="1"/>
    <col min="3583" max="3583" width="12.88671875" customWidth="1"/>
    <col min="3584" max="3585" width="13.5546875" customWidth="1"/>
    <col min="3586" max="3586" width="13.44140625" bestFit="1" customWidth="1"/>
    <col min="3830" max="3830" width="6.109375" customWidth="1"/>
    <col min="3831" max="3831" width="28.109375" customWidth="1"/>
    <col min="3832" max="3832" width="13.88671875" customWidth="1"/>
    <col min="3833" max="3833" width="14.5546875" customWidth="1"/>
    <col min="3834" max="3834" width="15.5546875" customWidth="1"/>
    <col min="3835" max="3835" width="14.5546875" customWidth="1"/>
    <col min="3836" max="3836" width="16.5546875" customWidth="1"/>
    <col min="3837" max="3837" width="14.5546875" customWidth="1"/>
    <col min="3838" max="3838" width="11.5546875" customWidth="1"/>
    <col min="3839" max="3839" width="12.88671875" customWidth="1"/>
    <col min="3840" max="3841" width="13.5546875" customWidth="1"/>
    <col min="3842" max="3842" width="13.44140625" bestFit="1" customWidth="1"/>
    <col min="4086" max="4086" width="6.109375" customWidth="1"/>
    <col min="4087" max="4087" width="28.109375" customWidth="1"/>
    <col min="4088" max="4088" width="13.88671875" customWidth="1"/>
    <col min="4089" max="4089" width="14.5546875" customWidth="1"/>
    <col min="4090" max="4090" width="15.5546875" customWidth="1"/>
    <col min="4091" max="4091" width="14.5546875" customWidth="1"/>
    <col min="4092" max="4092" width="16.5546875" customWidth="1"/>
    <col min="4093" max="4093" width="14.5546875" customWidth="1"/>
    <col min="4094" max="4094" width="11.5546875" customWidth="1"/>
    <col min="4095" max="4095" width="12.88671875" customWidth="1"/>
    <col min="4096" max="4097" width="13.5546875" customWidth="1"/>
    <col min="4098" max="4098" width="13.44140625" bestFit="1" customWidth="1"/>
    <col min="4342" max="4342" width="6.109375" customWidth="1"/>
    <col min="4343" max="4343" width="28.109375" customWidth="1"/>
    <col min="4344" max="4344" width="13.88671875" customWidth="1"/>
    <col min="4345" max="4345" width="14.5546875" customWidth="1"/>
    <col min="4346" max="4346" width="15.5546875" customWidth="1"/>
    <col min="4347" max="4347" width="14.5546875" customWidth="1"/>
    <col min="4348" max="4348" width="16.5546875" customWidth="1"/>
    <col min="4349" max="4349" width="14.5546875" customWidth="1"/>
    <col min="4350" max="4350" width="11.5546875" customWidth="1"/>
    <col min="4351" max="4351" width="12.88671875" customWidth="1"/>
    <col min="4352" max="4353" width="13.5546875" customWidth="1"/>
    <col min="4354" max="4354" width="13.44140625" bestFit="1" customWidth="1"/>
    <col min="4598" max="4598" width="6.109375" customWidth="1"/>
    <col min="4599" max="4599" width="28.109375" customWidth="1"/>
    <col min="4600" max="4600" width="13.88671875" customWidth="1"/>
    <col min="4601" max="4601" width="14.5546875" customWidth="1"/>
    <col min="4602" max="4602" width="15.5546875" customWidth="1"/>
    <col min="4603" max="4603" width="14.5546875" customWidth="1"/>
    <col min="4604" max="4604" width="16.5546875" customWidth="1"/>
    <col min="4605" max="4605" width="14.5546875" customWidth="1"/>
    <col min="4606" max="4606" width="11.5546875" customWidth="1"/>
    <col min="4607" max="4607" width="12.88671875" customWidth="1"/>
    <col min="4608" max="4609" width="13.5546875" customWidth="1"/>
    <col min="4610" max="4610" width="13.44140625" bestFit="1" customWidth="1"/>
    <col min="4854" max="4854" width="6.109375" customWidth="1"/>
    <col min="4855" max="4855" width="28.109375" customWidth="1"/>
    <col min="4856" max="4856" width="13.88671875" customWidth="1"/>
    <col min="4857" max="4857" width="14.5546875" customWidth="1"/>
    <col min="4858" max="4858" width="15.5546875" customWidth="1"/>
    <col min="4859" max="4859" width="14.5546875" customWidth="1"/>
    <col min="4860" max="4860" width="16.5546875" customWidth="1"/>
    <col min="4861" max="4861" width="14.5546875" customWidth="1"/>
    <col min="4862" max="4862" width="11.5546875" customWidth="1"/>
    <col min="4863" max="4863" width="12.88671875" customWidth="1"/>
    <col min="4864" max="4865" width="13.5546875" customWidth="1"/>
    <col min="4866" max="4866" width="13.44140625" bestFit="1" customWidth="1"/>
    <col min="5110" max="5110" width="6.109375" customWidth="1"/>
    <col min="5111" max="5111" width="28.109375" customWidth="1"/>
    <col min="5112" max="5112" width="13.88671875" customWidth="1"/>
    <col min="5113" max="5113" width="14.5546875" customWidth="1"/>
    <col min="5114" max="5114" width="15.5546875" customWidth="1"/>
    <col min="5115" max="5115" width="14.5546875" customWidth="1"/>
    <col min="5116" max="5116" width="16.5546875" customWidth="1"/>
    <col min="5117" max="5117" width="14.5546875" customWidth="1"/>
    <col min="5118" max="5118" width="11.5546875" customWidth="1"/>
    <col min="5119" max="5119" width="12.88671875" customWidth="1"/>
    <col min="5120" max="5121" width="13.5546875" customWidth="1"/>
    <col min="5122" max="5122" width="13.44140625" bestFit="1" customWidth="1"/>
    <col min="5366" max="5366" width="6.109375" customWidth="1"/>
    <col min="5367" max="5367" width="28.109375" customWidth="1"/>
    <col min="5368" max="5368" width="13.88671875" customWidth="1"/>
    <col min="5369" max="5369" width="14.5546875" customWidth="1"/>
    <col min="5370" max="5370" width="15.5546875" customWidth="1"/>
    <col min="5371" max="5371" width="14.5546875" customWidth="1"/>
    <col min="5372" max="5372" width="16.5546875" customWidth="1"/>
    <col min="5373" max="5373" width="14.5546875" customWidth="1"/>
    <col min="5374" max="5374" width="11.5546875" customWidth="1"/>
    <col min="5375" max="5375" width="12.88671875" customWidth="1"/>
    <col min="5376" max="5377" width="13.5546875" customWidth="1"/>
    <col min="5378" max="5378" width="13.44140625" bestFit="1" customWidth="1"/>
    <col min="5622" max="5622" width="6.109375" customWidth="1"/>
    <col min="5623" max="5623" width="28.109375" customWidth="1"/>
    <col min="5624" max="5624" width="13.88671875" customWidth="1"/>
    <col min="5625" max="5625" width="14.5546875" customWidth="1"/>
    <col min="5626" max="5626" width="15.5546875" customWidth="1"/>
    <col min="5627" max="5627" width="14.5546875" customWidth="1"/>
    <col min="5628" max="5628" width="16.5546875" customWidth="1"/>
    <col min="5629" max="5629" width="14.5546875" customWidth="1"/>
    <col min="5630" max="5630" width="11.5546875" customWidth="1"/>
    <col min="5631" max="5631" width="12.88671875" customWidth="1"/>
    <col min="5632" max="5633" width="13.5546875" customWidth="1"/>
    <col min="5634" max="5634" width="13.44140625" bestFit="1" customWidth="1"/>
    <col min="5878" max="5878" width="6.109375" customWidth="1"/>
    <col min="5879" max="5879" width="28.109375" customWidth="1"/>
    <col min="5880" max="5880" width="13.88671875" customWidth="1"/>
    <col min="5881" max="5881" width="14.5546875" customWidth="1"/>
    <col min="5882" max="5882" width="15.5546875" customWidth="1"/>
    <col min="5883" max="5883" width="14.5546875" customWidth="1"/>
    <col min="5884" max="5884" width="16.5546875" customWidth="1"/>
    <col min="5885" max="5885" width="14.5546875" customWidth="1"/>
    <col min="5886" max="5886" width="11.5546875" customWidth="1"/>
    <col min="5887" max="5887" width="12.88671875" customWidth="1"/>
    <col min="5888" max="5889" width="13.5546875" customWidth="1"/>
    <col min="5890" max="5890" width="13.44140625" bestFit="1" customWidth="1"/>
    <col min="6134" max="6134" width="6.109375" customWidth="1"/>
    <col min="6135" max="6135" width="28.109375" customWidth="1"/>
    <col min="6136" max="6136" width="13.88671875" customWidth="1"/>
    <col min="6137" max="6137" width="14.5546875" customWidth="1"/>
    <col min="6138" max="6138" width="15.5546875" customWidth="1"/>
    <col min="6139" max="6139" width="14.5546875" customWidth="1"/>
    <col min="6140" max="6140" width="16.5546875" customWidth="1"/>
    <col min="6141" max="6141" width="14.5546875" customWidth="1"/>
    <col min="6142" max="6142" width="11.5546875" customWidth="1"/>
    <col min="6143" max="6143" width="12.88671875" customWidth="1"/>
    <col min="6144" max="6145" width="13.5546875" customWidth="1"/>
    <col min="6146" max="6146" width="13.44140625" bestFit="1" customWidth="1"/>
    <col min="6390" max="6390" width="6.109375" customWidth="1"/>
    <col min="6391" max="6391" width="28.109375" customWidth="1"/>
    <col min="6392" max="6392" width="13.88671875" customWidth="1"/>
    <col min="6393" max="6393" width="14.5546875" customWidth="1"/>
    <col min="6394" max="6394" width="15.5546875" customWidth="1"/>
    <col min="6395" max="6395" width="14.5546875" customWidth="1"/>
    <col min="6396" max="6396" width="16.5546875" customWidth="1"/>
    <col min="6397" max="6397" width="14.5546875" customWidth="1"/>
    <col min="6398" max="6398" width="11.5546875" customWidth="1"/>
    <col min="6399" max="6399" width="12.88671875" customWidth="1"/>
    <col min="6400" max="6401" width="13.5546875" customWidth="1"/>
    <col min="6402" max="6402" width="13.44140625" bestFit="1" customWidth="1"/>
    <col min="6646" max="6646" width="6.109375" customWidth="1"/>
    <col min="6647" max="6647" width="28.109375" customWidth="1"/>
    <col min="6648" max="6648" width="13.88671875" customWidth="1"/>
    <col min="6649" max="6649" width="14.5546875" customWidth="1"/>
    <col min="6650" max="6650" width="15.5546875" customWidth="1"/>
    <col min="6651" max="6651" width="14.5546875" customWidth="1"/>
    <col min="6652" max="6652" width="16.5546875" customWidth="1"/>
    <col min="6653" max="6653" width="14.5546875" customWidth="1"/>
    <col min="6654" max="6654" width="11.5546875" customWidth="1"/>
    <col min="6655" max="6655" width="12.88671875" customWidth="1"/>
    <col min="6656" max="6657" width="13.5546875" customWidth="1"/>
    <col min="6658" max="6658" width="13.44140625" bestFit="1" customWidth="1"/>
    <col min="6902" max="6902" width="6.109375" customWidth="1"/>
    <col min="6903" max="6903" width="28.109375" customWidth="1"/>
    <col min="6904" max="6904" width="13.88671875" customWidth="1"/>
    <col min="6905" max="6905" width="14.5546875" customWidth="1"/>
    <col min="6906" max="6906" width="15.5546875" customWidth="1"/>
    <col min="6907" max="6907" width="14.5546875" customWidth="1"/>
    <col min="6908" max="6908" width="16.5546875" customWidth="1"/>
    <col min="6909" max="6909" width="14.5546875" customWidth="1"/>
    <col min="6910" max="6910" width="11.5546875" customWidth="1"/>
    <col min="6911" max="6911" width="12.88671875" customWidth="1"/>
    <col min="6912" max="6913" width="13.5546875" customWidth="1"/>
    <col min="6914" max="6914" width="13.44140625" bestFit="1" customWidth="1"/>
    <col min="7158" max="7158" width="6.109375" customWidth="1"/>
    <col min="7159" max="7159" width="28.109375" customWidth="1"/>
    <col min="7160" max="7160" width="13.88671875" customWidth="1"/>
    <col min="7161" max="7161" width="14.5546875" customWidth="1"/>
    <col min="7162" max="7162" width="15.5546875" customWidth="1"/>
    <col min="7163" max="7163" width="14.5546875" customWidth="1"/>
    <col min="7164" max="7164" width="16.5546875" customWidth="1"/>
    <col min="7165" max="7165" width="14.5546875" customWidth="1"/>
    <col min="7166" max="7166" width="11.5546875" customWidth="1"/>
    <col min="7167" max="7167" width="12.88671875" customWidth="1"/>
    <col min="7168" max="7169" width="13.5546875" customWidth="1"/>
    <col min="7170" max="7170" width="13.44140625" bestFit="1" customWidth="1"/>
    <col min="7414" max="7414" width="6.109375" customWidth="1"/>
    <col min="7415" max="7415" width="28.109375" customWidth="1"/>
    <col min="7416" max="7416" width="13.88671875" customWidth="1"/>
    <col min="7417" max="7417" width="14.5546875" customWidth="1"/>
    <col min="7418" max="7418" width="15.5546875" customWidth="1"/>
    <col min="7419" max="7419" width="14.5546875" customWidth="1"/>
    <col min="7420" max="7420" width="16.5546875" customWidth="1"/>
    <col min="7421" max="7421" width="14.5546875" customWidth="1"/>
    <col min="7422" max="7422" width="11.5546875" customWidth="1"/>
    <col min="7423" max="7423" width="12.88671875" customWidth="1"/>
    <col min="7424" max="7425" width="13.5546875" customWidth="1"/>
    <col min="7426" max="7426" width="13.44140625" bestFit="1" customWidth="1"/>
    <col min="7670" max="7670" width="6.109375" customWidth="1"/>
    <col min="7671" max="7671" width="28.109375" customWidth="1"/>
    <col min="7672" max="7672" width="13.88671875" customWidth="1"/>
    <col min="7673" max="7673" width="14.5546875" customWidth="1"/>
    <col min="7674" max="7674" width="15.5546875" customWidth="1"/>
    <col min="7675" max="7675" width="14.5546875" customWidth="1"/>
    <col min="7676" max="7676" width="16.5546875" customWidth="1"/>
    <col min="7677" max="7677" width="14.5546875" customWidth="1"/>
    <col min="7678" max="7678" width="11.5546875" customWidth="1"/>
    <col min="7679" max="7679" width="12.88671875" customWidth="1"/>
    <col min="7680" max="7681" width="13.5546875" customWidth="1"/>
    <col min="7682" max="7682" width="13.44140625" bestFit="1" customWidth="1"/>
    <col min="7926" max="7926" width="6.109375" customWidth="1"/>
    <col min="7927" max="7927" width="28.109375" customWidth="1"/>
    <col min="7928" max="7928" width="13.88671875" customWidth="1"/>
    <col min="7929" max="7929" width="14.5546875" customWidth="1"/>
    <col min="7930" max="7930" width="15.5546875" customWidth="1"/>
    <col min="7931" max="7931" width="14.5546875" customWidth="1"/>
    <col min="7932" max="7932" width="16.5546875" customWidth="1"/>
    <col min="7933" max="7933" width="14.5546875" customWidth="1"/>
    <col min="7934" max="7934" width="11.5546875" customWidth="1"/>
    <col min="7935" max="7935" width="12.88671875" customWidth="1"/>
    <col min="7936" max="7937" width="13.5546875" customWidth="1"/>
    <col min="7938" max="7938" width="13.44140625" bestFit="1" customWidth="1"/>
    <col min="8182" max="8182" width="6.109375" customWidth="1"/>
    <col min="8183" max="8183" width="28.109375" customWidth="1"/>
    <col min="8184" max="8184" width="13.88671875" customWidth="1"/>
    <col min="8185" max="8185" width="14.5546875" customWidth="1"/>
    <col min="8186" max="8186" width="15.5546875" customWidth="1"/>
    <col min="8187" max="8187" width="14.5546875" customWidth="1"/>
    <col min="8188" max="8188" width="16.5546875" customWidth="1"/>
    <col min="8189" max="8189" width="14.5546875" customWidth="1"/>
    <col min="8190" max="8190" width="11.5546875" customWidth="1"/>
    <col min="8191" max="8191" width="12.88671875" customWidth="1"/>
    <col min="8192" max="8193" width="13.5546875" customWidth="1"/>
    <col min="8194" max="8194" width="13.44140625" bestFit="1" customWidth="1"/>
    <col min="8438" max="8438" width="6.109375" customWidth="1"/>
    <col min="8439" max="8439" width="28.109375" customWidth="1"/>
    <col min="8440" max="8440" width="13.88671875" customWidth="1"/>
    <col min="8441" max="8441" width="14.5546875" customWidth="1"/>
    <col min="8442" max="8442" width="15.5546875" customWidth="1"/>
    <col min="8443" max="8443" width="14.5546875" customWidth="1"/>
    <col min="8444" max="8444" width="16.5546875" customWidth="1"/>
    <col min="8445" max="8445" width="14.5546875" customWidth="1"/>
    <col min="8446" max="8446" width="11.5546875" customWidth="1"/>
    <col min="8447" max="8447" width="12.88671875" customWidth="1"/>
    <col min="8448" max="8449" width="13.5546875" customWidth="1"/>
    <col min="8450" max="8450" width="13.44140625" bestFit="1" customWidth="1"/>
    <col min="8694" max="8694" width="6.109375" customWidth="1"/>
    <col min="8695" max="8695" width="28.109375" customWidth="1"/>
    <col min="8696" max="8696" width="13.88671875" customWidth="1"/>
    <col min="8697" max="8697" width="14.5546875" customWidth="1"/>
    <col min="8698" max="8698" width="15.5546875" customWidth="1"/>
    <col min="8699" max="8699" width="14.5546875" customWidth="1"/>
    <col min="8700" max="8700" width="16.5546875" customWidth="1"/>
    <col min="8701" max="8701" width="14.5546875" customWidth="1"/>
    <col min="8702" max="8702" width="11.5546875" customWidth="1"/>
    <col min="8703" max="8703" width="12.88671875" customWidth="1"/>
    <col min="8704" max="8705" width="13.5546875" customWidth="1"/>
    <col min="8706" max="8706" width="13.44140625" bestFit="1" customWidth="1"/>
    <col min="8950" max="8950" width="6.109375" customWidth="1"/>
    <col min="8951" max="8951" width="28.109375" customWidth="1"/>
    <col min="8952" max="8952" width="13.88671875" customWidth="1"/>
    <col min="8953" max="8953" width="14.5546875" customWidth="1"/>
    <col min="8954" max="8954" width="15.5546875" customWidth="1"/>
    <col min="8955" max="8955" width="14.5546875" customWidth="1"/>
    <col min="8956" max="8956" width="16.5546875" customWidth="1"/>
    <col min="8957" max="8957" width="14.5546875" customWidth="1"/>
    <col min="8958" max="8958" width="11.5546875" customWidth="1"/>
    <col min="8959" max="8959" width="12.88671875" customWidth="1"/>
    <col min="8960" max="8961" width="13.5546875" customWidth="1"/>
    <col min="8962" max="8962" width="13.44140625" bestFit="1" customWidth="1"/>
    <col min="9206" max="9206" width="6.109375" customWidth="1"/>
    <col min="9207" max="9207" width="28.109375" customWidth="1"/>
    <col min="9208" max="9208" width="13.88671875" customWidth="1"/>
    <col min="9209" max="9209" width="14.5546875" customWidth="1"/>
    <col min="9210" max="9210" width="15.5546875" customWidth="1"/>
    <col min="9211" max="9211" width="14.5546875" customWidth="1"/>
    <col min="9212" max="9212" width="16.5546875" customWidth="1"/>
    <col min="9213" max="9213" width="14.5546875" customWidth="1"/>
    <col min="9214" max="9214" width="11.5546875" customWidth="1"/>
    <col min="9215" max="9215" width="12.88671875" customWidth="1"/>
    <col min="9216" max="9217" width="13.5546875" customWidth="1"/>
    <col min="9218" max="9218" width="13.44140625" bestFit="1" customWidth="1"/>
    <col min="9462" max="9462" width="6.109375" customWidth="1"/>
    <col min="9463" max="9463" width="28.109375" customWidth="1"/>
    <col min="9464" max="9464" width="13.88671875" customWidth="1"/>
    <col min="9465" max="9465" width="14.5546875" customWidth="1"/>
    <col min="9466" max="9466" width="15.5546875" customWidth="1"/>
    <col min="9467" max="9467" width="14.5546875" customWidth="1"/>
    <col min="9468" max="9468" width="16.5546875" customWidth="1"/>
    <col min="9469" max="9469" width="14.5546875" customWidth="1"/>
    <col min="9470" max="9470" width="11.5546875" customWidth="1"/>
    <col min="9471" max="9471" width="12.88671875" customWidth="1"/>
    <col min="9472" max="9473" width="13.5546875" customWidth="1"/>
    <col min="9474" max="9474" width="13.44140625" bestFit="1" customWidth="1"/>
    <col min="9718" max="9718" width="6.109375" customWidth="1"/>
    <col min="9719" max="9719" width="28.109375" customWidth="1"/>
    <col min="9720" max="9720" width="13.88671875" customWidth="1"/>
    <col min="9721" max="9721" width="14.5546875" customWidth="1"/>
    <col min="9722" max="9722" width="15.5546875" customWidth="1"/>
    <col min="9723" max="9723" width="14.5546875" customWidth="1"/>
    <col min="9724" max="9724" width="16.5546875" customWidth="1"/>
    <col min="9725" max="9725" width="14.5546875" customWidth="1"/>
    <col min="9726" max="9726" width="11.5546875" customWidth="1"/>
    <col min="9727" max="9727" width="12.88671875" customWidth="1"/>
    <col min="9728" max="9729" width="13.5546875" customWidth="1"/>
    <col min="9730" max="9730" width="13.44140625" bestFit="1" customWidth="1"/>
    <col min="9974" max="9974" width="6.109375" customWidth="1"/>
    <col min="9975" max="9975" width="28.109375" customWidth="1"/>
    <col min="9976" max="9976" width="13.88671875" customWidth="1"/>
    <col min="9977" max="9977" width="14.5546875" customWidth="1"/>
    <col min="9978" max="9978" width="15.5546875" customWidth="1"/>
    <col min="9979" max="9979" width="14.5546875" customWidth="1"/>
    <col min="9980" max="9980" width="16.5546875" customWidth="1"/>
    <col min="9981" max="9981" width="14.5546875" customWidth="1"/>
    <col min="9982" max="9982" width="11.5546875" customWidth="1"/>
    <col min="9983" max="9983" width="12.88671875" customWidth="1"/>
    <col min="9984" max="9985" width="13.5546875" customWidth="1"/>
    <col min="9986" max="9986" width="13.44140625" bestFit="1" customWidth="1"/>
    <col min="10230" max="10230" width="6.109375" customWidth="1"/>
    <col min="10231" max="10231" width="28.109375" customWidth="1"/>
    <col min="10232" max="10232" width="13.88671875" customWidth="1"/>
    <col min="10233" max="10233" width="14.5546875" customWidth="1"/>
    <col min="10234" max="10234" width="15.5546875" customWidth="1"/>
    <col min="10235" max="10235" width="14.5546875" customWidth="1"/>
    <col min="10236" max="10236" width="16.5546875" customWidth="1"/>
    <col min="10237" max="10237" width="14.5546875" customWidth="1"/>
    <col min="10238" max="10238" width="11.5546875" customWidth="1"/>
    <col min="10239" max="10239" width="12.88671875" customWidth="1"/>
    <col min="10240" max="10241" width="13.5546875" customWidth="1"/>
    <col min="10242" max="10242" width="13.44140625" bestFit="1" customWidth="1"/>
    <col min="10486" max="10486" width="6.109375" customWidth="1"/>
    <col min="10487" max="10487" width="28.109375" customWidth="1"/>
    <col min="10488" max="10488" width="13.88671875" customWidth="1"/>
    <col min="10489" max="10489" width="14.5546875" customWidth="1"/>
    <col min="10490" max="10490" width="15.5546875" customWidth="1"/>
    <col min="10491" max="10491" width="14.5546875" customWidth="1"/>
    <col min="10492" max="10492" width="16.5546875" customWidth="1"/>
    <col min="10493" max="10493" width="14.5546875" customWidth="1"/>
    <col min="10494" max="10494" width="11.5546875" customWidth="1"/>
    <col min="10495" max="10495" width="12.88671875" customWidth="1"/>
    <col min="10496" max="10497" width="13.5546875" customWidth="1"/>
    <col min="10498" max="10498" width="13.44140625" bestFit="1" customWidth="1"/>
    <col min="10742" max="10742" width="6.109375" customWidth="1"/>
    <col min="10743" max="10743" width="28.109375" customWidth="1"/>
    <col min="10744" max="10744" width="13.88671875" customWidth="1"/>
    <col min="10745" max="10745" width="14.5546875" customWidth="1"/>
    <col min="10746" max="10746" width="15.5546875" customWidth="1"/>
    <col min="10747" max="10747" width="14.5546875" customWidth="1"/>
    <col min="10748" max="10748" width="16.5546875" customWidth="1"/>
    <col min="10749" max="10749" width="14.5546875" customWidth="1"/>
    <col min="10750" max="10750" width="11.5546875" customWidth="1"/>
    <col min="10751" max="10751" width="12.88671875" customWidth="1"/>
    <col min="10752" max="10753" width="13.5546875" customWidth="1"/>
    <col min="10754" max="10754" width="13.44140625" bestFit="1" customWidth="1"/>
    <col min="10998" max="10998" width="6.109375" customWidth="1"/>
    <col min="10999" max="10999" width="28.109375" customWidth="1"/>
    <col min="11000" max="11000" width="13.88671875" customWidth="1"/>
    <col min="11001" max="11001" width="14.5546875" customWidth="1"/>
    <col min="11002" max="11002" width="15.5546875" customWidth="1"/>
    <col min="11003" max="11003" width="14.5546875" customWidth="1"/>
    <col min="11004" max="11004" width="16.5546875" customWidth="1"/>
    <col min="11005" max="11005" width="14.5546875" customWidth="1"/>
    <col min="11006" max="11006" width="11.5546875" customWidth="1"/>
    <col min="11007" max="11007" width="12.88671875" customWidth="1"/>
    <col min="11008" max="11009" width="13.5546875" customWidth="1"/>
    <col min="11010" max="11010" width="13.44140625" bestFit="1" customWidth="1"/>
    <col min="11254" max="11254" width="6.109375" customWidth="1"/>
    <col min="11255" max="11255" width="28.109375" customWidth="1"/>
    <col min="11256" max="11256" width="13.88671875" customWidth="1"/>
    <col min="11257" max="11257" width="14.5546875" customWidth="1"/>
    <col min="11258" max="11258" width="15.5546875" customWidth="1"/>
    <col min="11259" max="11259" width="14.5546875" customWidth="1"/>
    <col min="11260" max="11260" width="16.5546875" customWidth="1"/>
    <col min="11261" max="11261" width="14.5546875" customWidth="1"/>
    <col min="11262" max="11262" width="11.5546875" customWidth="1"/>
    <col min="11263" max="11263" width="12.88671875" customWidth="1"/>
    <col min="11264" max="11265" width="13.5546875" customWidth="1"/>
    <col min="11266" max="11266" width="13.44140625" bestFit="1" customWidth="1"/>
    <col min="11510" max="11510" width="6.109375" customWidth="1"/>
    <col min="11511" max="11511" width="28.109375" customWidth="1"/>
    <col min="11512" max="11512" width="13.88671875" customWidth="1"/>
    <col min="11513" max="11513" width="14.5546875" customWidth="1"/>
    <col min="11514" max="11514" width="15.5546875" customWidth="1"/>
    <col min="11515" max="11515" width="14.5546875" customWidth="1"/>
    <col min="11516" max="11516" width="16.5546875" customWidth="1"/>
    <col min="11517" max="11517" width="14.5546875" customWidth="1"/>
    <col min="11518" max="11518" width="11.5546875" customWidth="1"/>
    <col min="11519" max="11519" width="12.88671875" customWidth="1"/>
    <col min="11520" max="11521" width="13.5546875" customWidth="1"/>
    <col min="11522" max="11522" width="13.44140625" bestFit="1" customWidth="1"/>
    <col min="11766" max="11766" width="6.109375" customWidth="1"/>
    <col min="11767" max="11767" width="28.109375" customWidth="1"/>
    <col min="11768" max="11768" width="13.88671875" customWidth="1"/>
    <col min="11769" max="11769" width="14.5546875" customWidth="1"/>
    <col min="11770" max="11770" width="15.5546875" customWidth="1"/>
    <col min="11771" max="11771" width="14.5546875" customWidth="1"/>
    <col min="11772" max="11772" width="16.5546875" customWidth="1"/>
    <col min="11773" max="11773" width="14.5546875" customWidth="1"/>
    <col min="11774" max="11774" width="11.5546875" customWidth="1"/>
    <col min="11775" max="11775" width="12.88671875" customWidth="1"/>
    <col min="11776" max="11777" width="13.5546875" customWidth="1"/>
    <col min="11778" max="11778" width="13.44140625" bestFit="1" customWidth="1"/>
    <col min="12022" max="12022" width="6.109375" customWidth="1"/>
    <col min="12023" max="12023" width="28.109375" customWidth="1"/>
    <col min="12024" max="12024" width="13.88671875" customWidth="1"/>
    <col min="12025" max="12025" width="14.5546875" customWidth="1"/>
    <col min="12026" max="12026" width="15.5546875" customWidth="1"/>
    <col min="12027" max="12027" width="14.5546875" customWidth="1"/>
    <col min="12028" max="12028" width="16.5546875" customWidth="1"/>
    <col min="12029" max="12029" width="14.5546875" customWidth="1"/>
    <col min="12030" max="12030" width="11.5546875" customWidth="1"/>
    <col min="12031" max="12031" width="12.88671875" customWidth="1"/>
    <col min="12032" max="12033" width="13.5546875" customWidth="1"/>
    <col min="12034" max="12034" width="13.44140625" bestFit="1" customWidth="1"/>
    <col min="12278" max="12278" width="6.109375" customWidth="1"/>
    <col min="12279" max="12279" width="28.109375" customWidth="1"/>
    <col min="12280" max="12280" width="13.88671875" customWidth="1"/>
    <col min="12281" max="12281" width="14.5546875" customWidth="1"/>
    <col min="12282" max="12282" width="15.5546875" customWidth="1"/>
    <col min="12283" max="12283" width="14.5546875" customWidth="1"/>
    <col min="12284" max="12284" width="16.5546875" customWidth="1"/>
    <col min="12285" max="12285" width="14.5546875" customWidth="1"/>
    <col min="12286" max="12286" width="11.5546875" customWidth="1"/>
    <col min="12287" max="12287" width="12.88671875" customWidth="1"/>
    <col min="12288" max="12289" width="13.5546875" customWidth="1"/>
    <col min="12290" max="12290" width="13.44140625" bestFit="1" customWidth="1"/>
    <col min="12534" max="12534" width="6.109375" customWidth="1"/>
    <col min="12535" max="12535" width="28.109375" customWidth="1"/>
    <col min="12536" max="12536" width="13.88671875" customWidth="1"/>
    <col min="12537" max="12537" width="14.5546875" customWidth="1"/>
    <col min="12538" max="12538" width="15.5546875" customWidth="1"/>
    <col min="12539" max="12539" width="14.5546875" customWidth="1"/>
    <col min="12540" max="12540" width="16.5546875" customWidth="1"/>
    <col min="12541" max="12541" width="14.5546875" customWidth="1"/>
    <col min="12542" max="12542" width="11.5546875" customWidth="1"/>
    <col min="12543" max="12543" width="12.88671875" customWidth="1"/>
    <col min="12544" max="12545" width="13.5546875" customWidth="1"/>
    <col min="12546" max="12546" width="13.44140625" bestFit="1" customWidth="1"/>
    <col min="12790" max="12790" width="6.109375" customWidth="1"/>
    <col min="12791" max="12791" width="28.109375" customWidth="1"/>
    <col min="12792" max="12792" width="13.88671875" customWidth="1"/>
    <col min="12793" max="12793" width="14.5546875" customWidth="1"/>
    <col min="12794" max="12794" width="15.5546875" customWidth="1"/>
    <col min="12795" max="12795" width="14.5546875" customWidth="1"/>
    <col min="12796" max="12796" width="16.5546875" customWidth="1"/>
    <col min="12797" max="12797" width="14.5546875" customWidth="1"/>
    <col min="12798" max="12798" width="11.5546875" customWidth="1"/>
    <col min="12799" max="12799" width="12.88671875" customWidth="1"/>
    <col min="12800" max="12801" width="13.5546875" customWidth="1"/>
    <col min="12802" max="12802" width="13.44140625" bestFit="1" customWidth="1"/>
    <col min="13046" max="13046" width="6.109375" customWidth="1"/>
    <col min="13047" max="13047" width="28.109375" customWidth="1"/>
    <col min="13048" max="13048" width="13.88671875" customWidth="1"/>
    <col min="13049" max="13049" width="14.5546875" customWidth="1"/>
    <col min="13050" max="13050" width="15.5546875" customWidth="1"/>
    <col min="13051" max="13051" width="14.5546875" customWidth="1"/>
    <col min="13052" max="13052" width="16.5546875" customWidth="1"/>
    <col min="13053" max="13053" width="14.5546875" customWidth="1"/>
    <col min="13054" max="13054" width="11.5546875" customWidth="1"/>
    <col min="13055" max="13055" width="12.88671875" customWidth="1"/>
    <col min="13056" max="13057" width="13.5546875" customWidth="1"/>
    <col min="13058" max="13058" width="13.44140625" bestFit="1" customWidth="1"/>
    <col min="13302" max="13302" width="6.109375" customWidth="1"/>
    <col min="13303" max="13303" width="28.109375" customWidth="1"/>
    <col min="13304" max="13304" width="13.88671875" customWidth="1"/>
    <col min="13305" max="13305" width="14.5546875" customWidth="1"/>
    <col min="13306" max="13306" width="15.5546875" customWidth="1"/>
    <col min="13307" max="13307" width="14.5546875" customWidth="1"/>
    <col min="13308" max="13308" width="16.5546875" customWidth="1"/>
    <col min="13309" max="13309" width="14.5546875" customWidth="1"/>
    <col min="13310" max="13310" width="11.5546875" customWidth="1"/>
    <col min="13311" max="13311" width="12.88671875" customWidth="1"/>
    <col min="13312" max="13313" width="13.5546875" customWidth="1"/>
    <col min="13314" max="13314" width="13.44140625" bestFit="1" customWidth="1"/>
    <col min="13558" max="13558" width="6.109375" customWidth="1"/>
    <col min="13559" max="13559" width="28.109375" customWidth="1"/>
    <col min="13560" max="13560" width="13.88671875" customWidth="1"/>
    <col min="13561" max="13561" width="14.5546875" customWidth="1"/>
    <col min="13562" max="13562" width="15.5546875" customWidth="1"/>
    <col min="13563" max="13563" width="14.5546875" customWidth="1"/>
    <col min="13564" max="13564" width="16.5546875" customWidth="1"/>
    <col min="13565" max="13565" width="14.5546875" customWidth="1"/>
    <col min="13566" max="13566" width="11.5546875" customWidth="1"/>
    <col min="13567" max="13567" width="12.88671875" customWidth="1"/>
    <col min="13568" max="13569" width="13.5546875" customWidth="1"/>
    <col min="13570" max="13570" width="13.44140625" bestFit="1" customWidth="1"/>
    <col min="13814" max="13814" width="6.109375" customWidth="1"/>
    <col min="13815" max="13815" width="28.109375" customWidth="1"/>
    <col min="13816" max="13816" width="13.88671875" customWidth="1"/>
    <col min="13817" max="13817" width="14.5546875" customWidth="1"/>
    <col min="13818" max="13818" width="15.5546875" customWidth="1"/>
    <col min="13819" max="13819" width="14.5546875" customWidth="1"/>
    <col min="13820" max="13820" width="16.5546875" customWidth="1"/>
    <col min="13821" max="13821" width="14.5546875" customWidth="1"/>
    <col min="13822" max="13822" width="11.5546875" customWidth="1"/>
    <col min="13823" max="13823" width="12.88671875" customWidth="1"/>
    <col min="13824" max="13825" width="13.5546875" customWidth="1"/>
    <col min="13826" max="13826" width="13.44140625" bestFit="1" customWidth="1"/>
    <col min="14070" max="14070" width="6.109375" customWidth="1"/>
    <col min="14071" max="14071" width="28.109375" customWidth="1"/>
    <col min="14072" max="14072" width="13.88671875" customWidth="1"/>
    <col min="14073" max="14073" width="14.5546875" customWidth="1"/>
    <col min="14074" max="14074" width="15.5546875" customWidth="1"/>
    <col min="14075" max="14075" width="14.5546875" customWidth="1"/>
    <col min="14076" max="14076" width="16.5546875" customWidth="1"/>
    <col min="14077" max="14077" width="14.5546875" customWidth="1"/>
    <col min="14078" max="14078" width="11.5546875" customWidth="1"/>
    <col min="14079" max="14079" width="12.88671875" customWidth="1"/>
    <col min="14080" max="14081" width="13.5546875" customWidth="1"/>
    <col min="14082" max="14082" width="13.44140625" bestFit="1" customWidth="1"/>
    <col min="14326" max="14326" width="6.109375" customWidth="1"/>
    <col min="14327" max="14327" width="28.109375" customWidth="1"/>
    <col min="14328" max="14328" width="13.88671875" customWidth="1"/>
    <col min="14329" max="14329" width="14.5546875" customWidth="1"/>
    <col min="14330" max="14330" width="15.5546875" customWidth="1"/>
    <col min="14331" max="14331" width="14.5546875" customWidth="1"/>
    <col min="14332" max="14332" width="16.5546875" customWidth="1"/>
    <col min="14333" max="14333" width="14.5546875" customWidth="1"/>
    <col min="14334" max="14334" width="11.5546875" customWidth="1"/>
    <col min="14335" max="14335" width="12.88671875" customWidth="1"/>
    <col min="14336" max="14337" width="13.5546875" customWidth="1"/>
    <col min="14338" max="14338" width="13.44140625" bestFit="1" customWidth="1"/>
    <col min="14582" max="14582" width="6.109375" customWidth="1"/>
    <col min="14583" max="14583" width="28.109375" customWidth="1"/>
    <col min="14584" max="14584" width="13.88671875" customWidth="1"/>
    <col min="14585" max="14585" width="14.5546875" customWidth="1"/>
    <col min="14586" max="14586" width="15.5546875" customWidth="1"/>
    <col min="14587" max="14587" width="14.5546875" customWidth="1"/>
    <col min="14588" max="14588" width="16.5546875" customWidth="1"/>
    <col min="14589" max="14589" width="14.5546875" customWidth="1"/>
    <col min="14590" max="14590" width="11.5546875" customWidth="1"/>
    <col min="14591" max="14591" width="12.88671875" customWidth="1"/>
    <col min="14592" max="14593" width="13.5546875" customWidth="1"/>
    <col min="14594" max="14594" width="13.44140625" bestFit="1" customWidth="1"/>
    <col min="14838" max="14838" width="6.109375" customWidth="1"/>
    <col min="14839" max="14839" width="28.109375" customWidth="1"/>
    <col min="14840" max="14840" width="13.88671875" customWidth="1"/>
    <col min="14841" max="14841" width="14.5546875" customWidth="1"/>
    <col min="14842" max="14842" width="15.5546875" customWidth="1"/>
    <col min="14843" max="14843" width="14.5546875" customWidth="1"/>
    <col min="14844" max="14844" width="16.5546875" customWidth="1"/>
    <col min="14845" max="14845" width="14.5546875" customWidth="1"/>
    <col min="14846" max="14846" width="11.5546875" customWidth="1"/>
    <col min="14847" max="14847" width="12.88671875" customWidth="1"/>
    <col min="14848" max="14849" width="13.5546875" customWidth="1"/>
    <col min="14850" max="14850" width="13.44140625" bestFit="1" customWidth="1"/>
    <col min="15094" max="15094" width="6.109375" customWidth="1"/>
    <col min="15095" max="15095" width="28.109375" customWidth="1"/>
    <col min="15096" max="15096" width="13.88671875" customWidth="1"/>
    <col min="15097" max="15097" width="14.5546875" customWidth="1"/>
    <col min="15098" max="15098" width="15.5546875" customWidth="1"/>
    <col min="15099" max="15099" width="14.5546875" customWidth="1"/>
    <col min="15100" max="15100" width="16.5546875" customWidth="1"/>
    <col min="15101" max="15101" width="14.5546875" customWidth="1"/>
    <col min="15102" max="15102" width="11.5546875" customWidth="1"/>
    <col min="15103" max="15103" width="12.88671875" customWidth="1"/>
    <col min="15104" max="15105" width="13.5546875" customWidth="1"/>
    <col min="15106" max="15106" width="13.44140625" bestFit="1" customWidth="1"/>
    <col min="15350" max="15350" width="6.109375" customWidth="1"/>
    <col min="15351" max="15351" width="28.109375" customWidth="1"/>
    <col min="15352" max="15352" width="13.88671875" customWidth="1"/>
    <col min="15353" max="15353" width="14.5546875" customWidth="1"/>
    <col min="15354" max="15354" width="15.5546875" customWidth="1"/>
    <col min="15355" max="15355" width="14.5546875" customWidth="1"/>
    <col min="15356" max="15356" width="16.5546875" customWidth="1"/>
    <col min="15357" max="15357" width="14.5546875" customWidth="1"/>
    <col min="15358" max="15358" width="11.5546875" customWidth="1"/>
    <col min="15359" max="15359" width="12.88671875" customWidth="1"/>
    <col min="15360" max="15361" width="13.5546875" customWidth="1"/>
    <col min="15362" max="15362" width="13.44140625" bestFit="1" customWidth="1"/>
    <col min="15606" max="15606" width="6.109375" customWidth="1"/>
    <col min="15607" max="15607" width="28.109375" customWidth="1"/>
    <col min="15608" max="15608" width="13.88671875" customWidth="1"/>
    <col min="15609" max="15609" width="14.5546875" customWidth="1"/>
    <col min="15610" max="15610" width="15.5546875" customWidth="1"/>
    <col min="15611" max="15611" width="14.5546875" customWidth="1"/>
    <col min="15612" max="15612" width="16.5546875" customWidth="1"/>
    <col min="15613" max="15613" width="14.5546875" customWidth="1"/>
    <col min="15614" max="15614" width="11.5546875" customWidth="1"/>
    <col min="15615" max="15615" width="12.88671875" customWidth="1"/>
    <col min="15616" max="15617" width="13.5546875" customWidth="1"/>
    <col min="15618" max="15618" width="13.44140625" bestFit="1" customWidth="1"/>
    <col min="15862" max="15862" width="6.109375" customWidth="1"/>
    <col min="15863" max="15863" width="28.109375" customWidth="1"/>
    <col min="15864" max="15864" width="13.88671875" customWidth="1"/>
    <col min="15865" max="15865" width="14.5546875" customWidth="1"/>
    <col min="15866" max="15866" width="15.5546875" customWidth="1"/>
    <col min="15867" max="15867" width="14.5546875" customWidth="1"/>
    <col min="15868" max="15868" width="16.5546875" customWidth="1"/>
    <col min="15869" max="15869" width="14.5546875" customWidth="1"/>
    <col min="15870" max="15870" width="11.5546875" customWidth="1"/>
    <col min="15871" max="15871" width="12.88671875" customWidth="1"/>
    <col min="15872" max="15873" width="13.5546875" customWidth="1"/>
    <col min="15874" max="15874" width="13.44140625" bestFit="1" customWidth="1"/>
    <col min="16118" max="16118" width="6.109375" customWidth="1"/>
    <col min="16119" max="16119" width="28.109375" customWidth="1"/>
    <col min="16120" max="16120" width="13.88671875" customWidth="1"/>
    <col min="16121" max="16121" width="14.5546875" customWidth="1"/>
    <col min="16122" max="16122" width="15.5546875" customWidth="1"/>
    <col min="16123" max="16123" width="14.5546875" customWidth="1"/>
    <col min="16124" max="16124" width="16.5546875" customWidth="1"/>
    <col min="16125" max="16125" width="14.5546875" customWidth="1"/>
    <col min="16126" max="16126" width="11.5546875" customWidth="1"/>
    <col min="16127" max="16127" width="12.88671875" customWidth="1"/>
    <col min="16128" max="16129" width="13.5546875" customWidth="1"/>
    <col min="16130" max="16130" width="13.44140625" bestFit="1" customWidth="1"/>
  </cols>
  <sheetData>
    <row r="2" spans="1:13" ht="18" x14ac:dyDescent="0.35">
      <c r="B2" s="299" t="s">
        <v>418</v>
      </c>
    </row>
    <row r="3" spans="1:13" ht="18" x14ac:dyDescent="0.35">
      <c r="B3" s="29" t="s">
        <v>419</v>
      </c>
    </row>
    <row r="4" spans="1:13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3" s="40" customFormat="1" x14ac:dyDescent="0.3">
      <c r="A5" s="33"/>
      <c r="B5" s="20"/>
      <c r="C5" s="34" t="s">
        <v>1</v>
      </c>
      <c r="D5" s="35" t="s">
        <v>2</v>
      </c>
      <c r="E5" s="36" t="s">
        <v>3</v>
      </c>
      <c r="F5" s="36" t="s">
        <v>4</v>
      </c>
      <c r="G5" s="36" t="s">
        <v>5</v>
      </c>
      <c r="H5" s="36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8"/>
    </row>
    <row r="6" spans="1:13" ht="102.6" customHeight="1" x14ac:dyDescent="0.3">
      <c r="A6" s="41" t="s">
        <v>189</v>
      </c>
      <c r="B6" s="302" t="s">
        <v>357</v>
      </c>
      <c r="C6" s="42" t="s">
        <v>190</v>
      </c>
      <c r="D6" s="36" t="s">
        <v>12</v>
      </c>
      <c r="E6" s="36" t="s">
        <v>13</v>
      </c>
      <c r="F6" s="36" t="s">
        <v>14</v>
      </c>
      <c r="G6" s="36" t="s">
        <v>15</v>
      </c>
      <c r="H6" s="36" t="s">
        <v>191</v>
      </c>
      <c r="I6" s="43" t="s">
        <v>17</v>
      </c>
      <c r="J6" s="43" t="s">
        <v>18</v>
      </c>
      <c r="K6" s="43" t="s">
        <v>19</v>
      </c>
      <c r="L6" s="43" t="s">
        <v>360</v>
      </c>
      <c r="M6" s="36" t="s">
        <v>193</v>
      </c>
    </row>
    <row r="7" spans="1:13" s="40" customFormat="1" x14ac:dyDescent="0.3">
      <c r="A7" s="44"/>
      <c r="B7" s="123" t="s">
        <v>418</v>
      </c>
      <c r="C7" s="303">
        <f>I15</f>
        <v>1172600</v>
      </c>
      <c r="D7" s="303" t="e">
        <f>E7+F7+G7+H7+I7+J7+K7+#REF!</f>
        <v>#REF!</v>
      </c>
      <c r="E7" s="303">
        <v>33733</v>
      </c>
      <c r="F7" s="303">
        <v>81167.19</v>
      </c>
      <c r="G7" s="303">
        <v>31183.67</v>
      </c>
      <c r="H7" s="303">
        <v>0</v>
      </c>
      <c r="I7" s="303">
        <v>34911.29</v>
      </c>
      <c r="J7" s="303">
        <v>2423.9899999999998</v>
      </c>
      <c r="K7" s="303">
        <v>19291.93</v>
      </c>
      <c r="L7" s="303">
        <v>27751.15</v>
      </c>
      <c r="M7" s="411">
        <v>23</v>
      </c>
    </row>
    <row r="8" spans="1:13" x14ac:dyDescent="0.3">
      <c r="A8" s="51"/>
      <c r="B8" s="52"/>
      <c r="C8" s="50"/>
      <c r="D8" s="49"/>
      <c r="E8" s="50"/>
      <c r="F8" s="50"/>
      <c r="G8" s="50"/>
      <c r="H8" s="50"/>
      <c r="I8" s="50"/>
      <c r="J8" s="50"/>
      <c r="K8" s="50"/>
      <c r="L8" s="50"/>
      <c r="M8" s="414"/>
    </row>
    <row r="9" spans="1:13" x14ac:dyDescent="0.3">
      <c r="A9" s="30"/>
      <c r="B9" s="95"/>
      <c r="C9" s="304"/>
      <c r="D9" s="305"/>
      <c r="E9" s="30"/>
      <c r="F9" s="306"/>
      <c r="G9" s="30"/>
      <c r="H9" s="30"/>
      <c r="I9" s="30"/>
      <c r="J9" s="30"/>
      <c r="K9" s="31"/>
      <c r="L9" s="81"/>
    </row>
    <row r="10" spans="1:13" x14ac:dyDescent="0.3">
      <c r="A10" s="30"/>
      <c r="B10" s="30"/>
      <c r="C10" s="30"/>
      <c r="D10" s="55"/>
      <c r="E10" s="30"/>
      <c r="F10" s="30"/>
      <c r="G10" s="30"/>
      <c r="H10" s="30"/>
      <c r="I10" s="30"/>
      <c r="J10" s="30"/>
      <c r="K10" s="31"/>
      <c r="L10" s="81"/>
    </row>
    <row r="11" spans="1:13" x14ac:dyDescent="0.3">
      <c r="A11" s="30"/>
      <c r="B11" s="95" t="s">
        <v>197</v>
      </c>
      <c r="C11" s="30"/>
      <c r="D11" s="30"/>
      <c r="E11" s="30"/>
      <c r="F11" s="30"/>
      <c r="G11" s="30"/>
      <c r="H11" s="30"/>
      <c r="I11" s="30"/>
      <c r="J11" s="95"/>
      <c r="K11" s="30"/>
      <c r="L11" s="81"/>
    </row>
    <row r="12" spans="1:13" s="40" customFormat="1" ht="57.6" x14ac:dyDescent="0.3">
      <c r="A12" s="17" t="s">
        <v>189</v>
      </c>
      <c r="B12" s="23" t="s">
        <v>361</v>
      </c>
      <c r="C12" s="59" t="s">
        <v>199</v>
      </c>
      <c r="D12" s="59" t="s">
        <v>200</v>
      </c>
      <c r="E12" s="59" t="s">
        <v>201</v>
      </c>
      <c r="F12" s="59" t="s">
        <v>202</v>
      </c>
      <c r="G12" s="59" t="s">
        <v>53</v>
      </c>
      <c r="H12" s="59" t="s">
        <v>203</v>
      </c>
      <c r="I12" s="59" t="s">
        <v>204</v>
      </c>
      <c r="K12" s="89"/>
      <c r="L12" s="413"/>
    </row>
    <row r="13" spans="1:13" s="24" customFormat="1" ht="28.8" x14ac:dyDescent="0.3">
      <c r="A13" s="17"/>
      <c r="B13" s="307" t="s">
        <v>420</v>
      </c>
      <c r="C13" s="59">
        <v>1906</v>
      </c>
      <c r="D13" s="59"/>
      <c r="E13" s="308"/>
      <c r="F13" s="308" t="s">
        <v>421</v>
      </c>
      <c r="G13" s="59"/>
      <c r="H13" s="309">
        <v>1</v>
      </c>
      <c r="I13" s="59" t="s">
        <v>422</v>
      </c>
      <c r="J13"/>
      <c r="K13" s="99"/>
    </row>
    <row r="14" spans="1:13" s="24" customFormat="1" x14ac:dyDescent="0.3">
      <c r="A14" s="17"/>
      <c r="B14" s="23" t="s">
        <v>423</v>
      </c>
      <c r="C14" s="59">
        <v>1980</v>
      </c>
      <c r="D14" s="59"/>
      <c r="E14" s="59"/>
      <c r="F14" s="59" t="s">
        <v>424</v>
      </c>
      <c r="G14" s="59" t="s">
        <v>422</v>
      </c>
      <c r="H14" s="309">
        <v>1</v>
      </c>
      <c r="I14" s="59"/>
      <c r="J14"/>
    </row>
    <row r="15" spans="1:13" s="315" customFormat="1" x14ac:dyDescent="0.3">
      <c r="A15" s="310"/>
      <c r="B15" s="307" t="s">
        <v>83</v>
      </c>
      <c r="C15" s="311"/>
      <c r="D15" s="311"/>
      <c r="E15" s="311"/>
      <c r="F15" s="311"/>
      <c r="G15" s="312">
        <v>1066</v>
      </c>
      <c r="H15" s="313"/>
      <c r="I15" s="314">
        <f>G15*1100</f>
        <v>1172600</v>
      </c>
      <c r="J15" s="21"/>
    </row>
    <row r="16" spans="1:13" s="1" customFormat="1" x14ac:dyDescent="0.3">
      <c r="A16"/>
      <c r="B16" s="56"/>
      <c r="C16"/>
      <c r="D16" s="56"/>
      <c r="E16"/>
      <c r="F16"/>
      <c r="G16"/>
      <c r="H16"/>
      <c r="I16"/>
      <c r="J16"/>
    </row>
    <row r="17" spans="1:18" s="1" customFormat="1" ht="28.2" x14ac:dyDescent="0.3">
      <c r="A17"/>
      <c r="B17" s="316" t="s">
        <v>372</v>
      </c>
      <c r="C17"/>
      <c r="D17" s="56"/>
      <c r="E17"/>
      <c r="F17"/>
      <c r="G17"/>
      <c r="H17"/>
      <c r="I17"/>
      <c r="J17"/>
    </row>
    <row r="18" spans="1:18" s="1" customFormat="1" ht="96.6" customHeight="1" x14ac:dyDescent="0.3">
      <c r="A18" s="41" t="s">
        <v>189</v>
      </c>
      <c r="B18" s="317" t="s">
        <v>373</v>
      </c>
      <c r="C18" s="36" t="s">
        <v>374</v>
      </c>
      <c r="D18" s="36" t="s">
        <v>375</v>
      </c>
      <c r="E18" s="36" t="s">
        <v>376</v>
      </c>
      <c r="F18" s="36" t="s">
        <v>377</v>
      </c>
      <c r="G18"/>
      <c r="H18" s="26"/>
      <c r="I18"/>
      <c r="J18"/>
    </row>
    <row r="19" spans="1:18" s="1" customFormat="1" ht="24" customHeight="1" x14ac:dyDescent="0.3">
      <c r="A19" s="936"/>
      <c r="B19" s="937" t="s">
        <v>420</v>
      </c>
      <c r="C19" s="939">
        <f>I15</f>
        <v>1172600</v>
      </c>
      <c r="D19" s="939" t="e">
        <f>D7-E7-H7</f>
        <v>#REF!</v>
      </c>
      <c r="E19" s="941">
        <v>0</v>
      </c>
      <c r="F19" s="318">
        <v>1986</v>
      </c>
      <c r="G19"/>
      <c r="H19"/>
      <c r="I19"/>
      <c r="J19"/>
    </row>
    <row r="20" spans="1:18" s="1" customFormat="1" ht="21.75" customHeight="1" x14ac:dyDescent="0.3">
      <c r="A20" s="881"/>
      <c r="B20" s="938"/>
      <c r="C20" s="940"/>
      <c r="D20" s="940"/>
      <c r="E20" s="942"/>
      <c r="F20" s="318">
        <v>2651.64</v>
      </c>
      <c r="G20"/>
      <c r="H20"/>
      <c r="I20"/>
      <c r="J20"/>
    </row>
    <row r="21" spans="1:18" ht="38.1" customHeight="1" x14ac:dyDescent="0.3">
      <c r="B21" s="32"/>
      <c r="C21" s="57"/>
      <c r="D21" s="57"/>
      <c r="E21" s="57"/>
      <c r="F21" s="57"/>
      <c r="G21" s="57"/>
      <c r="H21" s="57"/>
      <c r="I21" s="57"/>
      <c r="J21" s="57"/>
      <c r="K21" s="57"/>
    </row>
    <row r="22" spans="1:18" ht="23.25" customHeight="1" thickBot="1" x14ac:dyDescent="0.35">
      <c r="B22" s="320" t="s">
        <v>607</v>
      </c>
      <c r="C22" s="57"/>
      <c r="D22" s="57"/>
      <c r="E22" s="57"/>
      <c r="F22" s="57"/>
      <c r="G22" s="57"/>
      <c r="H22" s="57"/>
      <c r="I22" s="57"/>
      <c r="J22" s="57"/>
      <c r="K22" s="57"/>
    </row>
    <row r="23" spans="1:18" s="323" customFormat="1" ht="32.4" customHeight="1" thickBot="1" x14ac:dyDescent="0.35">
      <c r="A23" s="953"/>
      <c r="B23" s="955" t="s">
        <v>381</v>
      </c>
      <c r="C23" s="957" t="s">
        <v>37</v>
      </c>
      <c r="D23" s="957"/>
      <c r="E23" s="958"/>
      <c r="F23" s="958"/>
      <c r="G23" s="958"/>
      <c r="H23" s="958"/>
      <c r="I23" s="958"/>
      <c r="J23" s="958"/>
      <c r="K23" s="958"/>
      <c r="L23" s="958"/>
      <c r="M23" s="959"/>
      <c r="N23" s="321"/>
      <c r="O23" s="943" t="s">
        <v>38</v>
      </c>
      <c r="P23" s="944"/>
      <c r="Q23" s="580" t="s">
        <v>425</v>
      </c>
      <c r="R23" s="581" t="s">
        <v>606</v>
      </c>
    </row>
    <row r="24" spans="1:18" s="334" customFormat="1" ht="84" thickTop="1" thickBot="1" x14ac:dyDescent="0.35">
      <c r="A24" s="954"/>
      <c r="B24" s="956"/>
      <c r="C24" s="945" t="s">
        <v>41</v>
      </c>
      <c r="D24" s="945"/>
      <c r="E24" s="946"/>
      <c r="F24" s="947" t="s">
        <v>43</v>
      </c>
      <c r="G24" s="948"/>
      <c r="H24" s="949"/>
      <c r="I24" s="950" t="s">
        <v>382</v>
      </c>
      <c r="J24" s="951"/>
      <c r="K24" s="952"/>
      <c r="L24" s="324" t="s">
        <v>384</v>
      </c>
      <c r="M24" s="325" t="s">
        <v>207</v>
      </c>
      <c r="N24" s="328" t="s">
        <v>387</v>
      </c>
      <c r="O24" s="329" t="s">
        <v>388</v>
      </c>
      <c r="P24" s="331" t="s">
        <v>391</v>
      </c>
      <c r="Q24" s="332" t="s">
        <v>427</v>
      </c>
      <c r="R24" s="333" t="s">
        <v>428</v>
      </c>
    </row>
    <row r="25" spans="1:18" s="323" customFormat="1" ht="15" thickBot="1" x14ac:dyDescent="0.35">
      <c r="A25" s="335"/>
      <c r="B25" s="336" t="s">
        <v>392</v>
      </c>
      <c r="C25" s="337" t="s">
        <v>48</v>
      </c>
      <c r="D25" s="338" t="s">
        <v>393</v>
      </c>
      <c r="E25" s="338" t="s">
        <v>394</v>
      </c>
      <c r="F25" s="339" t="s">
        <v>48</v>
      </c>
      <c r="G25" s="338" t="s">
        <v>393</v>
      </c>
      <c r="H25" s="340" t="s">
        <v>394</v>
      </c>
      <c r="I25" s="341" t="s">
        <v>48</v>
      </c>
      <c r="J25" s="342" t="s">
        <v>393</v>
      </c>
      <c r="K25" s="343" t="s">
        <v>394</v>
      </c>
      <c r="L25" s="339" t="s">
        <v>48</v>
      </c>
      <c r="M25" s="342" t="s">
        <v>48</v>
      </c>
      <c r="N25" s="338" t="s">
        <v>394</v>
      </c>
      <c r="O25" s="339"/>
      <c r="P25" s="347"/>
      <c r="Q25" s="348" t="s">
        <v>48</v>
      </c>
      <c r="R25" s="349" t="s">
        <v>48</v>
      </c>
    </row>
    <row r="26" spans="1:18" s="358" customFormat="1" ht="15" thickBot="1" x14ac:dyDescent="0.35">
      <c r="A26" s="350"/>
      <c r="B26" s="351" t="s">
        <v>418</v>
      </c>
      <c r="C26" s="352">
        <v>6000</v>
      </c>
      <c r="D26" s="352">
        <v>4000</v>
      </c>
      <c r="E26" s="353">
        <v>0</v>
      </c>
      <c r="F26" s="353">
        <v>20000</v>
      </c>
      <c r="G26" s="353">
        <v>10000</v>
      </c>
      <c r="H26" s="353">
        <v>0</v>
      </c>
      <c r="I26" s="353">
        <v>10000</v>
      </c>
      <c r="J26" s="353">
        <v>5000</v>
      </c>
      <c r="K26" s="353">
        <v>0</v>
      </c>
      <c r="L26" s="353">
        <v>1000</v>
      </c>
      <c r="M26" s="354">
        <v>1000</v>
      </c>
      <c r="N26" s="354">
        <f>F20</f>
        <v>2651.64</v>
      </c>
      <c r="O26" s="355">
        <v>1000</v>
      </c>
      <c r="P26" s="354">
        <v>1000</v>
      </c>
      <c r="Q26" s="356">
        <v>5000</v>
      </c>
      <c r="R26" s="357">
        <f>Q26</f>
        <v>5000</v>
      </c>
    </row>
  </sheetData>
  <mergeCells count="12">
    <mergeCell ref="O23:P23"/>
    <mergeCell ref="C24:E24"/>
    <mergeCell ref="F24:H24"/>
    <mergeCell ref="I24:K24"/>
    <mergeCell ref="A23:A24"/>
    <mergeCell ref="B23:B24"/>
    <mergeCell ref="C23:M23"/>
    <mergeCell ref="A19:A20"/>
    <mergeCell ref="B19:B20"/>
    <mergeCell ref="C19:C20"/>
    <mergeCell ref="D19:D20"/>
    <mergeCell ref="E19:E20"/>
  </mergeCells>
  <pageMargins left="0.25" right="0.22" top="0.74803149606299213" bottom="0.74803149606299213" header="0.31496062992125984" footer="0.31496062992125984"/>
  <pageSetup paperSize="9" scale="44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5ADD1-F36B-4A16-A7A3-CEAD641BCB80}">
  <dimension ref="A2:T5"/>
  <sheetViews>
    <sheetView topLeftCell="B1" workbookViewId="0">
      <selection activeCell="P6" sqref="P6"/>
    </sheetView>
  </sheetViews>
  <sheetFormatPr defaultRowHeight="14.4" x14ac:dyDescent="0.3"/>
  <cols>
    <col min="1" max="1" width="8.88671875" style="24"/>
    <col min="2" max="2" width="12.88671875" style="24" customWidth="1"/>
    <col min="3" max="3" width="13" style="24" customWidth="1"/>
    <col min="4" max="4" width="19.44140625" style="24" customWidth="1"/>
    <col min="5" max="5" width="18" style="24" customWidth="1"/>
    <col min="6" max="6" width="4.44140625" style="24" customWidth="1"/>
    <col min="7" max="7" width="6" style="24" customWidth="1"/>
    <col min="8" max="8" width="6.33203125" style="24" customWidth="1"/>
    <col min="9" max="9" width="11.44140625" style="24" customWidth="1"/>
    <col min="10" max="10" width="8.88671875" style="24"/>
    <col min="11" max="11" width="7.109375" style="24" customWidth="1"/>
    <col min="12" max="12" width="10.6640625" style="24" customWidth="1"/>
    <col min="13" max="13" width="4.109375" style="24" customWidth="1"/>
    <col min="14" max="14" width="4.44140625" style="24" customWidth="1"/>
    <col min="15" max="15" width="5.109375" style="24" customWidth="1"/>
    <col min="16" max="16" width="8.88671875" style="24"/>
    <col min="17" max="17" width="14.44140625" style="24" customWidth="1"/>
    <col min="18" max="19" width="10.88671875" style="24" customWidth="1"/>
    <col min="20" max="20" width="8.88671875" style="24"/>
  </cols>
  <sheetData>
    <row r="2" spans="1:20" x14ac:dyDescent="0.3">
      <c r="A2" s="315"/>
      <c r="B2" s="359" t="s">
        <v>429</v>
      </c>
    </row>
    <row r="4" spans="1:20" ht="57.6" x14ac:dyDescent="0.3">
      <c r="A4" s="360" t="s">
        <v>137</v>
      </c>
      <c r="B4" s="361" t="s">
        <v>138</v>
      </c>
      <c r="C4" s="361" t="s">
        <v>139</v>
      </c>
      <c r="D4" s="361" t="s">
        <v>140</v>
      </c>
      <c r="E4" s="361" t="s">
        <v>141</v>
      </c>
      <c r="F4" s="361" t="s">
        <v>142</v>
      </c>
      <c r="G4" s="361" t="s">
        <v>143</v>
      </c>
      <c r="H4" s="361" t="s">
        <v>144</v>
      </c>
      <c r="I4" s="361" t="s">
        <v>145</v>
      </c>
      <c r="J4" s="361" t="s">
        <v>241</v>
      </c>
      <c r="K4" s="361" t="s">
        <v>147</v>
      </c>
      <c r="L4" s="362" t="s">
        <v>220</v>
      </c>
      <c r="M4" s="361" t="s">
        <v>148</v>
      </c>
      <c r="N4" s="361" t="s">
        <v>149</v>
      </c>
      <c r="O4" s="361" t="s">
        <v>150</v>
      </c>
      <c r="P4" s="361" t="s">
        <v>151</v>
      </c>
      <c r="Q4" s="361" t="s">
        <v>152</v>
      </c>
      <c r="R4" s="361" t="s">
        <v>153</v>
      </c>
      <c r="S4" s="361" t="s">
        <v>154</v>
      </c>
      <c r="T4" s="361" t="s">
        <v>221</v>
      </c>
    </row>
    <row r="5" spans="1:20" ht="43.2" x14ac:dyDescent="0.3">
      <c r="A5" s="360">
        <v>1</v>
      </c>
      <c r="B5" s="363" t="s">
        <v>430</v>
      </c>
      <c r="C5" s="363" t="s">
        <v>431</v>
      </c>
      <c r="D5" s="363" t="s">
        <v>432</v>
      </c>
      <c r="E5" s="362" t="s">
        <v>433</v>
      </c>
      <c r="F5" s="363">
        <v>122</v>
      </c>
      <c r="G5" s="363"/>
      <c r="H5" s="363">
        <v>20</v>
      </c>
      <c r="I5" s="363"/>
      <c r="J5" s="364">
        <v>59300</v>
      </c>
      <c r="K5" s="363">
        <v>2006</v>
      </c>
      <c r="L5" s="365">
        <v>43647</v>
      </c>
      <c r="M5" s="363" t="s">
        <v>159</v>
      </c>
      <c r="N5" s="363" t="s">
        <v>159</v>
      </c>
      <c r="O5" s="363" t="s">
        <v>159</v>
      </c>
      <c r="P5" s="366">
        <v>0</v>
      </c>
      <c r="Q5" s="362" t="s">
        <v>434</v>
      </c>
      <c r="R5" s="363" t="s">
        <v>159</v>
      </c>
      <c r="S5" s="363" t="s">
        <v>160</v>
      </c>
      <c r="T5" s="363" t="s">
        <v>160</v>
      </c>
    </row>
  </sheetData>
  <pageMargins left="0.7" right="0.7" top="0.75" bottom="0.75" header="0.3" footer="0.3"/>
  <pageSetup paperSize="9" scale="6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DF240-3BB4-4D07-816A-2C97A9A02B3D}">
  <sheetPr>
    <pageSetUpPr fitToPage="1"/>
  </sheetPr>
  <dimension ref="A2:W27"/>
  <sheetViews>
    <sheetView topLeftCell="A13" zoomScale="85" zoomScaleNormal="85" workbookViewId="0">
      <selection activeCell="B22" sqref="B22"/>
    </sheetView>
  </sheetViews>
  <sheetFormatPr defaultRowHeight="14.4" x14ac:dyDescent="0.3"/>
  <cols>
    <col min="1" max="1" width="6.109375" customWidth="1"/>
    <col min="2" max="2" width="28.109375" customWidth="1"/>
    <col min="3" max="3" width="16" bestFit="1" customWidth="1"/>
    <col min="4" max="5" width="15.5546875" customWidth="1"/>
    <col min="6" max="6" width="16.109375" customWidth="1"/>
    <col min="7" max="7" width="16.5546875" customWidth="1"/>
    <col min="8" max="8" width="14.5546875" customWidth="1"/>
    <col min="9" max="9" width="13.44140625" customWidth="1"/>
    <col min="10" max="10" width="14.6640625" bestFit="1" customWidth="1"/>
    <col min="11" max="11" width="12.88671875" customWidth="1"/>
    <col min="12" max="12" width="13.5546875" customWidth="1"/>
    <col min="17" max="17" width="11.33203125" customWidth="1"/>
    <col min="18" max="18" width="10.109375" customWidth="1"/>
    <col min="21" max="21" width="9.5546875" bestFit="1" customWidth="1"/>
    <col min="251" max="251" width="6.109375" customWidth="1"/>
    <col min="252" max="252" width="28.109375" customWidth="1"/>
    <col min="253" max="253" width="13.88671875" customWidth="1"/>
    <col min="254" max="254" width="14.5546875" customWidth="1"/>
    <col min="255" max="255" width="15.5546875" customWidth="1"/>
    <col min="256" max="256" width="14.5546875" customWidth="1"/>
    <col min="257" max="257" width="16.5546875" customWidth="1"/>
    <col min="258" max="258" width="14.5546875" customWidth="1"/>
    <col min="259" max="259" width="11.5546875" customWidth="1"/>
    <col min="260" max="260" width="12.88671875" customWidth="1"/>
    <col min="261" max="262" width="13.5546875" customWidth="1"/>
    <col min="263" max="263" width="13.44140625" bestFit="1" customWidth="1"/>
    <col min="507" max="507" width="6.109375" customWidth="1"/>
    <col min="508" max="508" width="28.109375" customWidth="1"/>
    <col min="509" max="509" width="13.88671875" customWidth="1"/>
    <col min="510" max="510" width="14.5546875" customWidth="1"/>
    <col min="511" max="511" width="15.5546875" customWidth="1"/>
    <col min="512" max="512" width="14.5546875" customWidth="1"/>
    <col min="513" max="513" width="16.5546875" customWidth="1"/>
    <col min="514" max="514" width="14.5546875" customWidth="1"/>
    <col min="515" max="515" width="11.5546875" customWidth="1"/>
    <col min="516" max="516" width="12.88671875" customWidth="1"/>
    <col min="517" max="518" width="13.5546875" customWidth="1"/>
    <col min="519" max="519" width="13.44140625" bestFit="1" customWidth="1"/>
    <col min="763" max="763" width="6.109375" customWidth="1"/>
    <col min="764" max="764" width="28.109375" customWidth="1"/>
    <col min="765" max="765" width="13.88671875" customWidth="1"/>
    <col min="766" max="766" width="14.5546875" customWidth="1"/>
    <col min="767" max="767" width="15.5546875" customWidth="1"/>
    <col min="768" max="768" width="14.5546875" customWidth="1"/>
    <col min="769" max="769" width="16.5546875" customWidth="1"/>
    <col min="770" max="770" width="14.5546875" customWidth="1"/>
    <col min="771" max="771" width="11.5546875" customWidth="1"/>
    <col min="772" max="772" width="12.88671875" customWidth="1"/>
    <col min="773" max="774" width="13.5546875" customWidth="1"/>
    <col min="775" max="775" width="13.44140625" bestFit="1" customWidth="1"/>
    <col min="1019" max="1019" width="6.109375" customWidth="1"/>
    <col min="1020" max="1020" width="28.109375" customWidth="1"/>
    <col min="1021" max="1021" width="13.88671875" customWidth="1"/>
    <col min="1022" max="1022" width="14.5546875" customWidth="1"/>
    <col min="1023" max="1023" width="15.5546875" customWidth="1"/>
    <col min="1024" max="1024" width="14.5546875" customWidth="1"/>
    <col min="1025" max="1025" width="16.5546875" customWidth="1"/>
    <col min="1026" max="1026" width="14.5546875" customWidth="1"/>
    <col min="1027" max="1027" width="11.5546875" customWidth="1"/>
    <col min="1028" max="1028" width="12.88671875" customWidth="1"/>
    <col min="1029" max="1030" width="13.5546875" customWidth="1"/>
    <col min="1031" max="1031" width="13.44140625" bestFit="1" customWidth="1"/>
    <col min="1275" max="1275" width="6.109375" customWidth="1"/>
    <col min="1276" max="1276" width="28.109375" customWidth="1"/>
    <col min="1277" max="1277" width="13.88671875" customWidth="1"/>
    <col min="1278" max="1278" width="14.5546875" customWidth="1"/>
    <col min="1279" max="1279" width="15.5546875" customWidth="1"/>
    <col min="1280" max="1280" width="14.5546875" customWidth="1"/>
    <col min="1281" max="1281" width="16.5546875" customWidth="1"/>
    <col min="1282" max="1282" width="14.5546875" customWidth="1"/>
    <col min="1283" max="1283" width="11.5546875" customWidth="1"/>
    <col min="1284" max="1284" width="12.88671875" customWidth="1"/>
    <col min="1285" max="1286" width="13.5546875" customWidth="1"/>
    <col min="1287" max="1287" width="13.44140625" bestFit="1" customWidth="1"/>
    <col min="1531" max="1531" width="6.109375" customWidth="1"/>
    <col min="1532" max="1532" width="28.109375" customWidth="1"/>
    <col min="1533" max="1533" width="13.88671875" customWidth="1"/>
    <col min="1534" max="1534" width="14.5546875" customWidth="1"/>
    <col min="1535" max="1535" width="15.5546875" customWidth="1"/>
    <col min="1536" max="1536" width="14.5546875" customWidth="1"/>
    <col min="1537" max="1537" width="16.5546875" customWidth="1"/>
    <col min="1538" max="1538" width="14.5546875" customWidth="1"/>
    <col min="1539" max="1539" width="11.5546875" customWidth="1"/>
    <col min="1540" max="1540" width="12.88671875" customWidth="1"/>
    <col min="1541" max="1542" width="13.5546875" customWidth="1"/>
    <col min="1543" max="1543" width="13.44140625" bestFit="1" customWidth="1"/>
    <col min="1787" max="1787" width="6.109375" customWidth="1"/>
    <col min="1788" max="1788" width="28.109375" customWidth="1"/>
    <col min="1789" max="1789" width="13.88671875" customWidth="1"/>
    <col min="1790" max="1790" width="14.5546875" customWidth="1"/>
    <col min="1791" max="1791" width="15.5546875" customWidth="1"/>
    <col min="1792" max="1792" width="14.5546875" customWidth="1"/>
    <col min="1793" max="1793" width="16.5546875" customWidth="1"/>
    <col min="1794" max="1794" width="14.5546875" customWidth="1"/>
    <col min="1795" max="1795" width="11.5546875" customWidth="1"/>
    <col min="1796" max="1796" width="12.88671875" customWidth="1"/>
    <col min="1797" max="1798" width="13.5546875" customWidth="1"/>
    <col min="1799" max="1799" width="13.44140625" bestFit="1" customWidth="1"/>
    <col min="2043" max="2043" width="6.109375" customWidth="1"/>
    <col min="2044" max="2044" width="28.109375" customWidth="1"/>
    <col min="2045" max="2045" width="13.88671875" customWidth="1"/>
    <col min="2046" max="2046" width="14.5546875" customWidth="1"/>
    <col min="2047" max="2047" width="15.5546875" customWidth="1"/>
    <col min="2048" max="2048" width="14.5546875" customWidth="1"/>
    <col min="2049" max="2049" width="16.5546875" customWidth="1"/>
    <col min="2050" max="2050" width="14.5546875" customWidth="1"/>
    <col min="2051" max="2051" width="11.5546875" customWidth="1"/>
    <col min="2052" max="2052" width="12.88671875" customWidth="1"/>
    <col min="2053" max="2054" width="13.5546875" customWidth="1"/>
    <col min="2055" max="2055" width="13.44140625" bestFit="1" customWidth="1"/>
    <col min="2299" max="2299" width="6.109375" customWidth="1"/>
    <col min="2300" max="2300" width="28.109375" customWidth="1"/>
    <col min="2301" max="2301" width="13.88671875" customWidth="1"/>
    <col min="2302" max="2302" width="14.5546875" customWidth="1"/>
    <col min="2303" max="2303" width="15.5546875" customWidth="1"/>
    <col min="2304" max="2304" width="14.5546875" customWidth="1"/>
    <col min="2305" max="2305" width="16.5546875" customWidth="1"/>
    <col min="2306" max="2306" width="14.5546875" customWidth="1"/>
    <col min="2307" max="2307" width="11.5546875" customWidth="1"/>
    <col min="2308" max="2308" width="12.88671875" customWidth="1"/>
    <col min="2309" max="2310" width="13.5546875" customWidth="1"/>
    <col min="2311" max="2311" width="13.44140625" bestFit="1" customWidth="1"/>
    <col min="2555" max="2555" width="6.109375" customWidth="1"/>
    <col min="2556" max="2556" width="28.109375" customWidth="1"/>
    <col min="2557" max="2557" width="13.88671875" customWidth="1"/>
    <col min="2558" max="2558" width="14.5546875" customWidth="1"/>
    <col min="2559" max="2559" width="15.5546875" customWidth="1"/>
    <col min="2560" max="2560" width="14.5546875" customWidth="1"/>
    <col min="2561" max="2561" width="16.5546875" customWidth="1"/>
    <col min="2562" max="2562" width="14.5546875" customWidth="1"/>
    <col min="2563" max="2563" width="11.5546875" customWidth="1"/>
    <col min="2564" max="2564" width="12.88671875" customWidth="1"/>
    <col min="2565" max="2566" width="13.5546875" customWidth="1"/>
    <col min="2567" max="2567" width="13.44140625" bestFit="1" customWidth="1"/>
    <col min="2811" max="2811" width="6.109375" customWidth="1"/>
    <col min="2812" max="2812" width="28.109375" customWidth="1"/>
    <col min="2813" max="2813" width="13.88671875" customWidth="1"/>
    <col min="2814" max="2814" width="14.5546875" customWidth="1"/>
    <col min="2815" max="2815" width="15.5546875" customWidth="1"/>
    <col min="2816" max="2816" width="14.5546875" customWidth="1"/>
    <col min="2817" max="2817" width="16.5546875" customWidth="1"/>
    <col min="2818" max="2818" width="14.5546875" customWidth="1"/>
    <col min="2819" max="2819" width="11.5546875" customWidth="1"/>
    <col min="2820" max="2820" width="12.88671875" customWidth="1"/>
    <col min="2821" max="2822" width="13.5546875" customWidth="1"/>
    <col min="2823" max="2823" width="13.44140625" bestFit="1" customWidth="1"/>
    <col min="3067" max="3067" width="6.109375" customWidth="1"/>
    <col min="3068" max="3068" width="28.109375" customWidth="1"/>
    <col min="3069" max="3069" width="13.88671875" customWidth="1"/>
    <col min="3070" max="3070" width="14.5546875" customWidth="1"/>
    <col min="3071" max="3071" width="15.5546875" customWidth="1"/>
    <col min="3072" max="3072" width="14.5546875" customWidth="1"/>
    <col min="3073" max="3073" width="16.5546875" customWidth="1"/>
    <col min="3074" max="3074" width="14.5546875" customWidth="1"/>
    <col min="3075" max="3075" width="11.5546875" customWidth="1"/>
    <col min="3076" max="3076" width="12.88671875" customWidth="1"/>
    <col min="3077" max="3078" width="13.5546875" customWidth="1"/>
    <col min="3079" max="3079" width="13.44140625" bestFit="1" customWidth="1"/>
    <col min="3323" max="3323" width="6.109375" customWidth="1"/>
    <col min="3324" max="3324" width="28.109375" customWidth="1"/>
    <col min="3325" max="3325" width="13.88671875" customWidth="1"/>
    <col min="3326" max="3326" width="14.5546875" customWidth="1"/>
    <col min="3327" max="3327" width="15.5546875" customWidth="1"/>
    <col min="3328" max="3328" width="14.5546875" customWidth="1"/>
    <col min="3329" max="3329" width="16.5546875" customWidth="1"/>
    <col min="3330" max="3330" width="14.5546875" customWidth="1"/>
    <col min="3331" max="3331" width="11.5546875" customWidth="1"/>
    <col min="3332" max="3332" width="12.88671875" customWidth="1"/>
    <col min="3333" max="3334" width="13.5546875" customWidth="1"/>
    <col min="3335" max="3335" width="13.44140625" bestFit="1" customWidth="1"/>
    <col min="3579" max="3579" width="6.109375" customWidth="1"/>
    <col min="3580" max="3580" width="28.109375" customWidth="1"/>
    <col min="3581" max="3581" width="13.88671875" customWidth="1"/>
    <col min="3582" max="3582" width="14.5546875" customWidth="1"/>
    <col min="3583" max="3583" width="15.5546875" customWidth="1"/>
    <col min="3584" max="3584" width="14.5546875" customWidth="1"/>
    <col min="3585" max="3585" width="16.5546875" customWidth="1"/>
    <col min="3586" max="3586" width="14.5546875" customWidth="1"/>
    <col min="3587" max="3587" width="11.5546875" customWidth="1"/>
    <col min="3588" max="3588" width="12.88671875" customWidth="1"/>
    <col min="3589" max="3590" width="13.5546875" customWidth="1"/>
    <col min="3591" max="3591" width="13.44140625" bestFit="1" customWidth="1"/>
    <col min="3835" max="3835" width="6.109375" customWidth="1"/>
    <col min="3836" max="3836" width="28.109375" customWidth="1"/>
    <col min="3837" max="3837" width="13.88671875" customWidth="1"/>
    <col min="3838" max="3838" width="14.5546875" customWidth="1"/>
    <col min="3839" max="3839" width="15.5546875" customWidth="1"/>
    <col min="3840" max="3840" width="14.5546875" customWidth="1"/>
    <col min="3841" max="3841" width="16.5546875" customWidth="1"/>
    <col min="3842" max="3842" width="14.5546875" customWidth="1"/>
    <col min="3843" max="3843" width="11.5546875" customWidth="1"/>
    <col min="3844" max="3844" width="12.88671875" customWidth="1"/>
    <col min="3845" max="3846" width="13.5546875" customWidth="1"/>
    <col min="3847" max="3847" width="13.44140625" bestFit="1" customWidth="1"/>
    <col min="4091" max="4091" width="6.109375" customWidth="1"/>
    <col min="4092" max="4092" width="28.109375" customWidth="1"/>
    <col min="4093" max="4093" width="13.88671875" customWidth="1"/>
    <col min="4094" max="4094" width="14.5546875" customWidth="1"/>
    <col min="4095" max="4095" width="15.5546875" customWidth="1"/>
    <col min="4096" max="4096" width="14.5546875" customWidth="1"/>
    <col min="4097" max="4097" width="16.5546875" customWidth="1"/>
    <col min="4098" max="4098" width="14.5546875" customWidth="1"/>
    <col min="4099" max="4099" width="11.5546875" customWidth="1"/>
    <col min="4100" max="4100" width="12.88671875" customWidth="1"/>
    <col min="4101" max="4102" width="13.5546875" customWidth="1"/>
    <col min="4103" max="4103" width="13.44140625" bestFit="1" customWidth="1"/>
    <col min="4347" max="4347" width="6.109375" customWidth="1"/>
    <col min="4348" max="4348" width="28.109375" customWidth="1"/>
    <col min="4349" max="4349" width="13.88671875" customWidth="1"/>
    <col min="4350" max="4350" width="14.5546875" customWidth="1"/>
    <col min="4351" max="4351" width="15.5546875" customWidth="1"/>
    <col min="4352" max="4352" width="14.5546875" customWidth="1"/>
    <col min="4353" max="4353" width="16.5546875" customWidth="1"/>
    <col min="4354" max="4354" width="14.5546875" customWidth="1"/>
    <col min="4355" max="4355" width="11.5546875" customWidth="1"/>
    <col min="4356" max="4356" width="12.88671875" customWidth="1"/>
    <col min="4357" max="4358" width="13.5546875" customWidth="1"/>
    <col min="4359" max="4359" width="13.44140625" bestFit="1" customWidth="1"/>
    <col min="4603" max="4603" width="6.109375" customWidth="1"/>
    <col min="4604" max="4604" width="28.109375" customWidth="1"/>
    <col min="4605" max="4605" width="13.88671875" customWidth="1"/>
    <col min="4606" max="4606" width="14.5546875" customWidth="1"/>
    <col min="4607" max="4607" width="15.5546875" customWidth="1"/>
    <col min="4608" max="4608" width="14.5546875" customWidth="1"/>
    <col min="4609" max="4609" width="16.5546875" customWidth="1"/>
    <col min="4610" max="4610" width="14.5546875" customWidth="1"/>
    <col min="4611" max="4611" width="11.5546875" customWidth="1"/>
    <col min="4612" max="4612" width="12.88671875" customWidth="1"/>
    <col min="4613" max="4614" width="13.5546875" customWidth="1"/>
    <col min="4615" max="4615" width="13.44140625" bestFit="1" customWidth="1"/>
    <col min="4859" max="4859" width="6.109375" customWidth="1"/>
    <col min="4860" max="4860" width="28.109375" customWidth="1"/>
    <col min="4861" max="4861" width="13.88671875" customWidth="1"/>
    <col min="4862" max="4862" width="14.5546875" customWidth="1"/>
    <col min="4863" max="4863" width="15.5546875" customWidth="1"/>
    <col min="4864" max="4864" width="14.5546875" customWidth="1"/>
    <col min="4865" max="4865" width="16.5546875" customWidth="1"/>
    <col min="4866" max="4866" width="14.5546875" customWidth="1"/>
    <col min="4867" max="4867" width="11.5546875" customWidth="1"/>
    <col min="4868" max="4868" width="12.88671875" customWidth="1"/>
    <col min="4869" max="4870" width="13.5546875" customWidth="1"/>
    <col min="4871" max="4871" width="13.44140625" bestFit="1" customWidth="1"/>
    <col min="5115" max="5115" width="6.109375" customWidth="1"/>
    <col min="5116" max="5116" width="28.109375" customWidth="1"/>
    <col min="5117" max="5117" width="13.88671875" customWidth="1"/>
    <col min="5118" max="5118" width="14.5546875" customWidth="1"/>
    <col min="5119" max="5119" width="15.5546875" customWidth="1"/>
    <col min="5120" max="5120" width="14.5546875" customWidth="1"/>
    <col min="5121" max="5121" width="16.5546875" customWidth="1"/>
    <col min="5122" max="5122" width="14.5546875" customWidth="1"/>
    <col min="5123" max="5123" width="11.5546875" customWidth="1"/>
    <col min="5124" max="5124" width="12.88671875" customWidth="1"/>
    <col min="5125" max="5126" width="13.5546875" customWidth="1"/>
    <col min="5127" max="5127" width="13.44140625" bestFit="1" customWidth="1"/>
    <col min="5371" max="5371" width="6.109375" customWidth="1"/>
    <col min="5372" max="5372" width="28.109375" customWidth="1"/>
    <col min="5373" max="5373" width="13.88671875" customWidth="1"/>
    <col min="5374" max="5374" width="14.5546875" customWidth="1"/>
    <col min="5375" max="5375" width="15.5546875" customWidth="1"/>
    <col min="5376" max="5376" width="14.5546875" customWidth="1"/>
    <col min="5377" max="5377" width="16.5546875" customWidth="1"/>
    <col min="5378" max="5378" width="14.5546875" customWidth="1"/>
    <col min="5379" max="5379" width="11.5546875" customWidth="1"/>
    <col min="5380" max="5380" width="12.88671875" customWidth="1"/>
    <col min="5381" max="5382" width="13.5546875" customWidth="1"/>
    <col min="5383" max="5383" width="13.44140625" bestFit="1" customWidth="1"/>
    <col min="5627" max="5627" width="6.109375" customWidth="1"/>
    <col min="5628" max="5628" width="28.109375" customWidth="1"/>
    <col min="5629" max="5629" width="13.88671875" customWidth="1"/>
    <col min="5630" max="5630" width="14.5546875" customWidth="1"/>
    <col min="5631" max="5631" width="15.5546875" customWidth="1"/>
    <col min="5632" max="5632" width="14.5546875" customWidth="1"/>
    <col min="5633" max="5633" width="16.5546875" customWidth="1"/>
    <col min="5634" max="5634" width="14.5546875" customWidth="1"/>
    <col min="5635" max="5635" width="11.5546875" customWidth="1"/>
    <col min="5636" max="5636" width="12.88671875" customWidth="1"/>
    <col min="5637" max="5638" width="13.5546875" customWidth="1"/>
    <col min="5639" max="5639" width="13.44140625" bestFit="1" customWidth="1"/>
    <col min="5883" max="5883" width="6.109375" customWidth="1"/>
    <col min="5884" max="5884" width="28.109375" customWidth="1"/>
    <col min="5885" max="5885" width="13.88671875" customWidth="1"/>
    <col min="5886" max="5886" width="14.5546875" customWidth="1"/>
    <col min="5887" max="5887" width="15.5546875" customWidth="1"/>
    <col min="5888" max="5888" width="14.5546875" customWidth="1"/>
    <col min="5889" max="5889" width="16.5546875" customWidth="1"/>
    <col min="5890" max="5890" width="14.5546875" customWidth="1"/>
    <col min="5891" max="5891" width="11.5546875" customWidth="1"/>
    <col min="5892" max="5892" width="12.88671875" customWidth="1"/>
    <col min="5893" max="5894" width="13.5546875" customWidth="1"/>
    <col min="5895" max="5895" width="13.44140625" bestFit="1" customWidth="1"/>
    <col min="6139" max="6139" width="6.109375" customWidth="1"/>
    <col min="6140" max="6140" width="28.109375" customWidth="1"/>
    <col min="6141" max="6141" width="13.88671875" customWidth="1"/>
    <col min="6142" max="6142" width="14.5546875" customWidth="1"/>
    <col min="6143" max="6143" width="15.5546875" customWidth="1"/>
    <col min="6144" max="6144" width="14.5546875" customWidth="1"/>
    <col min="6145" max="6145" width="16.5546875" customWidth="1"/>
    <col min="6146" max="6146" width="14.5546875" customWidth="1"/>
    <col min="6147" max="6147" width="11.5546875" customWidth="1"/>
    <col min="6148" max="6148" width="12.88671875" customWidth="1"/>
    <col min="6149" max="6150" width="13.5546875" customWidth="1"/>
    <col min="6151" max="6151" width="13.44140625" bestFit="1" customWidth="1"/>
    <col min="6395" max="6395" width="6.109375" customWidth="1"/>
    <col min="6396" max="6396" width="28.109375" customWidth="1"/>
    <col min="6397" max="6397" width="13.88671875" customWidth="1"/>
    <col min="6398" max="6398" width="14.5546875" customWidth="1"/>
    <col min="6399" max="6399" width="15.5546875" customWidth="1"/>
    <col min="6400" max="6400" width="14.5546875" customWidth="1"/>
    <col min="6401" max="6401" width="16.5546875" customWidth="1"/>
    <col min="6402" max="6402" width="14.5546875" customWidth="1"/>
    <col min="6403" max="6403" width="11.5546875" customWidth="1"/>
    <col min="6404" max="6404" width="12.88671875" customWidth="1"/>
    <col min="6405" max="6406" width="13.5546875" customWidth="1"/>
    <col min="6407" max="6407" width="13.44140625" bestFit="1" customWidth="1"/>
    <col min="6651" max="6651" width="6.109375" customWidth="1"/>
    <col min="6652" max="6652" width="28.109375" customWidth="1"/>
    <col min="6653" max="6653" width="13.88671875" customWidth="1"/>
    <col min="6654" max="6654" width="14.5546875" customWidth="1"/>
    <col min="6655" max="6655" width="15.5546875" customWidth="1"/>
    <col min="6656" max="6656" width="14.5546875" customWidth="1"/>
    <col min="6657" max="6657" width="16.5546875" customWidth="1"/>
    <col min="6658" max="6658" width="14.5546875" customWidth="1"/>
    <col min="6659" max="6659" width="11.5546875" customWidth="1"/>
    <col min="6660" max="6660" width="12.88671875" customWidth="1"/>
    <col min="6661" max="6662" width="13.5546875" customWidth="1"/>
    <col min="6663" max="6663" width="13.44140625" bestFit="1" customWidth="1"/>
    <col min="6907" max="6907" width="6.109375" customWidth="1"/>
    <col min="6908" max="6908" width="28.109375" customWidth="1"/>
    <col min="6909" max="6909" width="13.88671875" customWidth="1"/>
    <col min="6910" max="6910" width="14.5546875" customWidth="1"/>
    <col min="6911" max="6911" width="15.5546875" customWidth="1"/>
    <col min="6912" max="6912" width="14.5546875" customWidth="1"/>
    <col min="6913" max="6913" width="16.5546875" customWidth="1"/>
    <col min="6914" max="6914" width="14.5546875" customWidth="1"/>
    <col min="6915" max="6915" width="11.5546875" customWidth="1"/>
    <col min="6916" max="6916" width="12.88671875" customWidth="1"/>
    <col min="6917" max="6918" width="13.5546875" customWidth="1"/>
    <col min="6919" max="6919" width="13.44140625" bestFit="1" customWidth="1"/>
    <col min="7163" max="7163" width="6.109375" customWidth="1"/>
    <col min="7164" max="7164" width="28.109375" customWidth="1"/>
    <col min="7165" max="7165" width="13.88671875" customWidth="1"/>
    <col min="7166" max="7166" width="14.5546875" customWidth="1"/>
    <col min="7167" max="7167" width="15.5546875" customWidth="1"/>
    <col min="7168" max="7168" width="14.5546875" customWidth="1"/>
    <col min="7169" max="7169" width="16.5546875" customWidth="1"/>
    <col min="7170" max="7170" width="14.5546875" customWidth="1"/>
    <col min="7171" max="7171" width="11.5546875" customWidth="1"/>
    <col min="7172" max="7172" width="12.88671875" customWidth="1"/>
    <col min="7173" max="7174" width="13.5546875" customWidth="1"/>
    <col min="7175" max="7175" width="13.44140625" bestFit="1" customWidth="1"/>
    <col min="7419" max="7419" width="6.109375" customWidth="1"/>
    <col min="7420" max="7420" width="28.109375" customWidth="1"/>
    <col min="7421" max="7421" width="13.88671875" customWidth="1"/>
    <col min="7422" max="7422" width="14.5546875" customWidth="1"/>
    <col min="7423" max="7423" width="15.5546875" customWidth="1"/>
    <col min="7424" max="7424" width="14.5546875" customWidth="1"/>
    <col min="7425" max="7425" width="16.5546875" customWidth="1"/>
    <col min="7426" max="7426" width="14.5546875" customWidth="1"/>
    <col min="7427" max="7427" width="11.5546875" customWidth="1"/>
    <col min="7428" max="7428" width="12.88671875" customWidth="1"/>
    <col min="7429" max="7430" width="13.5546875" customWidth="1"/>
    <col min="7431" max="7431" width="13.44140625" bestFit="1" customWidth="1"/>
    <col min="7675" max="7675" width="6.109375" customWidth="1"/>
    <col min="7676" max="7676" width="28.109375" customWidth="1"/>
    <col min="7677" max="7677" width="13.88671875" customWidth="1"/>
    <col min="7678" max="7678" width="14.5546875" customWidth="1"/>
    <col min="7679" max="7679" width="15.5546875" customWidth="1"/>
    <col min="7680" max="7680" width="14.5546875" customWidth="1"/>
    <col min="7681" max="7681" width="16.5546875" customWidth="1"/>
    <col min="7682" max="7682" width="14.5546875" customWidth="1"/>
    <col min="7683" max="7683" width="11.5546875" customWidth="1"/>
    <col min="7684" max="7684" width="12.88671875" customWidth="1"/>
    <col min="7685" max="7686" width="13.5546875" customWidth="1"/>
    <col min="7687" max="7687" width="13.44140625" bestFit="1" customWidth="1"/>
    <col min="7931" max="7931" width="6.109375" customWidth="1"/>
    <col min="7932" max="7932" width="28.109375" customWidth="1"/>
    <col min="7933" max="7933" width="13.88671875" customWidth="1"/>
    <col min="7934" max="7934" width="14.5546875" customWidth="1"/>
    <col min="7935" max="7935" width="15.5546875" customWidth="1"/>
    <col min="7936" max="7936" width="14.5546875" customWidth="1"/>
    <col min="7937" max="7937" width="16.5546875" customWidth="1"/>
    <col min="7938" max="7938" width="14.5546875" customWidth="1"/>
    <col min="7939" max="7939" width="11.5546875" customWidth="1"/>
    <col min="7940" max="7940" width="12.88671875" customWidth="1"/>
    <col min="7941" max="7942" width="13.5546875" customWidth="1"/>
    <col min="7943" max="7943" width="13.44140625" bestFit="1" customWidth="1"/>
    <col min="8187" max="8187" width="6.109375" customWidth="1"/>
    <col min="8188" max="8188" width="28.109375" customWidth="1"/>
    <col min="8189" max="8189" width="13.88671875" customWidth="1"/>
    <col min="8190" max="8190" width="14.5546875" customWidth="1"/>
    <col min="8191" max="8191" width="15.5546875" customWidth="1"/>
    <col min="8192" max="8192" width="14.5546875" customWidth="1"/>
    <col min="8193" max="8193" width="16.5546875" customWidth="1"/>
    <col min="8194" max="8194" width="14.5546875" customWidth="1"/>
    <col min="8195" max="8195" width="11.5546875" customWidth="1"/>
    <col min="8196" max="8196" width="12.88671875" customWidth="1"/>
    <col min="8197" max="8198" width="13.5546875" customWidth="1"/>
    <col min="8199" max="8199" width="13.44140625" bestFit="1" customWidth="1"/>
    <col min="8443" max="8443" width="6.109375" customWidth="1"/>
    <col min="8444" max="8444" width="28.109375" customWidth="1"/>
    <col min="8445" max="8445" width="13.88671875" customWidth="1"/>
    <col min="8446" max="8446" width="14.5546875" customWidth="1"/>
    <col min="8447" max="8447" width="15.5546875" customWidth="1"/>
    <col min="8448" max="8448" width="14.5546875" customWidth="1"/>
    <col min="8449" max="8449" width="16.5546875" customWidth="1"/>
    <col min="8450" max="8450" width="14.5546875" customWidth="1"/>
    <col min="8451" max="8451" width="11.5546875" customWidth="1"/>
    <col min="8452" max="8452" width="12.88671875" customWidth="1"/>
    <col min="8453" max="8454" width="13.5546875" customWidth="1"/>
    <col min="8455" max="8455" width="13.44140625" bestFit="1" customWidth="1"/>
    <col min="8699" max="8699" width="6.109375" customWidth="1"/>
    <col min="8700" max="8700" width="28.109375" customWidth="1"/>
    <col min="8701" max="8701" width="13.88671875" customWidth="1"/>
    <col min="8702" max="8702" width="14.5546875" customWidth="1"/>
    <col min="8703" max="8703" width="15.5546875" customWidth="1"/>
    <col min="8704" max="8704" width="14.5546875" customWidth="1"/>
    <col min="8705" max="8705" width="16.5546875" customWidth="1"/>
    <col min="8706" max="8706" width="14.5546875" customWidth="1"/>
    <col min="8707" max="8707" width="11.5546875" customWidth="1"/>
    <col min="8708" max="8708" width="12.88671875" customWidth="1"/>
    <col min="8709" max="8710" width="13.5546875" customWidth="1"/>
    <col min="8711" max="8711" width="13.44140625" bestFit="1" customWidth="1"/>
    <col min="8955" max="8955" width="6.109375" customWidth="1"/>
    <col min="8956" max="8956" width="28.109375" customWidth="1"/>
    <col min="8957" max="8957" width="13.88671875" customWidth="1"/>
    <col min="8958" max="8958" width="14.5546875" customWidth="1"/>
    <col min="8959" max="8959" width="15.5546875" customWidth="1"/>
    <col min="8960" max="8960" width="14.5546875" customWidth="1"/>
    <col min="8961" max="8961" width="16.5546875" customWidth="1"/>
    <col min="8962" max="8962" width="14.5546875" customWidth="1"/>
    <col min="8963" max="8963" width="11.5546875" customWidth="1"/>
    <col min="8964" max="8964" width="12.88671875" customWidth="1"/>
    <col min="8965" max="8966" width="13.5546875" customWidth="1"/>
    <col min="8967" max="8967" width="13.44140625" bestFit="1" customWidth="1"/>
    <col min="9211" max="9211" width="6.109375" customWidth="1"/>
    <col min="9212" max="9212" width="28.109375" customWidth="1"/>
    <col min="9213" max="9213" width="13.88671875" customWidth="1"/>
    <col min="9214" max="9214" width="14.5546875" customWidth="1"/>
    <col min="9215" max="9215" width="15.5546875" customWidth="1"/>
    <col min="9216" max="9216" width="14.5546875" customWidth="1"/>
    <col min="9217" max="9217" width="16.5546875" customWidth="1"/>
    <col min="9218" max="9218" width="14.5546875" customWidth="1"/>
    <col min="9219" max="9219" width="11.5546875" customWidth="1"/>
    <col min="9220" max="9220" width="12.88671875" customWidth="1"/>
    <col min="9221" max="9222" width="13.5546875" customWidth="1"/>
    <col min="9223" max="9223" width="13.44140625" bestFit="1" customWidth="1"/>
    <col min="9467" max="9467" width="6.109375" customWidth="1"/>
    <col min="9468" max="9468" width="28.109375" customWidth="1"/>
    <col min="9469" max="9469" width="13.88671875" customWidth="1"/>
    <col min="9470" max="9470" width="14.5546875" customWidth="1"/>
    <col min="9471" max="9471" width="15.5546875" customWidth="1"/>
    <col min="9472" max="9472" width="14.5546875" customWidth="1"/>
    <col min="9473" max="9473" width="16.5546875" customWidth="1"/>
    <col min="9474" max="9474" width="14.5546875" customWidth="1"/>
    <col min="9475" max="9475" width="11.5546875" customWidth="1"/>
    <col min="9476" max="9476" width="12.88671875" customWidth="1"/>
    <col min="9477" max="9478" width="13.5546875" customWidth="1"/>
    <col min="9479" max="9479" width="13.44140625" bestFit="1" customWidth="1"/>
    <col min="9723" max="9723" width="6.109375" customWidth="1"/>
    <col min="9724" max="9724" width="28.109375" customWidth="1"/>
    <col min="9725" max="9725" width="13.88671875" customWidth="1"/>
    <col min="9726" max="9726" width="14.5546875" customWidth="1"/>
    <col min="9727" max="9727" width="15.5546875" customWidth="1"/>
    <col min="9728" max="9728" width="14.5546875" customWidth="1"/>
    <col min="9729" max="9729" width="16.5546875" customWidth="1"/>
    <col min="9730" max="9730" width="14.5546875" customWidth="1"/>
    <col min="9731" max="9731" width="11.5546875" customWidth="1"/>
    <col min="9732" max="9732" width="12.88671875" customWidth="1"/>
    <col min="9733" max="9734" width="13.5546875" customWidth="1"/>
    <col min="9735" max="9735" width="13.44140625" bestFit="1" customWidth="1"/>
    <col min="9979" max="9979" width="6.109375" customWidth="1"/>
    <col min="9980" max="9980" width="28.109375" customWidth="1"/>
    <col min="9981" max="9981" width="13.88671875" customWidth="1"/>
    <col min="9982" max="9982" width="14.5546875" customWidth="1"/>
    <col min="9983" max="9983" width="15.5546875" customWidth="1"/>
    <col min="9984" max="9984" width="14.5546875" customWidth="1"/>
    <col min="9985" max="9985" width="16.5546875" customWidth="1"/>
    <col min="9986" max="9986" width="14.5546875" customWidth="1"/>
    <col min="9987" max="9987" width="11.5546875" customWidth="1"/>
    <col min="9988" max="9988" width="12.88671875" customWidth="1"/>
    <col min="9989" max="9990" width="13.5546875" customWidth="1"/>
    <col min="9991" max="9991" width="13.44140625" bestFit="1" customWidth="1"/>
    <col min="10235" max="10235" width="6.109375" customWidth="1"/>
    <col min="10236" max="10236" width="28.109375" customWidth="1"/>
    <col min="10237" max="10237" width="13.88671875" customWidth="1"/>
    <col min="10238" max="10238" width="14.5546875" customWidth="1"/>
    <col min="10239" max="10239" width="15.5546875" customWidth="1"/>
    <col min="10240" max="10240" width="14.5546875" customWidth="1"/>
    <col min="10241" max="10241" width="16.5546875" customWidth="1"/>
    <col min="10242" max="10242" width="14.5546875" customWidth="1"/>
    <col min="10243" max="10243" width="11.5546875" customWidth="1"/>
    <col min="10244" max="10244" width="12.88671875" customWidth="1"/>
    <col min="10245" max="10246" width="13.5546875" customWidth="1"/>
    <col min="10247" max="10247" width="13.44140625" bestFit="1" customWidth="1"/>
    <col min="10491" max="10491" width="6.109375" customWidth="1"/>
    <col min="10492" max="10492" width="28.109375" customWidth="1"/>
    <col min="10493" max="10493" width="13.88671875" customWidth="1"/>
    <col min="10494" max="10494" width="14.5546875" customWidth="1"/>
    <col min="10495" max="10495" width="15.5546875" customWidth="1"/>
    <col min="10496" max="10496" width="14.5546875" customWidth="1"/>
    <col min="10497" max="10497" width="16.5546875" customWidth="1"/>
    <col min="10498" max="10498" width="14.5546875" customWidth="1"/>
    <col min="10499" max="10499" width="11.5546875" customWidth="1"/>
    <col min="10500" max="10500" width="12.88671875" customWidth="1"/>
    <col min="10501" max="10502" width="13.5546875" customWidth="1"/>
    <col min="10503" max="10503" width="13.44140625" bestFit="1" customWidth="1"/>
    <col min="10747" max="10747" width="6.109375" customWidth="1"/>
    <col min="10748" max="10748" width="28.109375" customWidth="1"/>
    <col min="10749" max="10749" width="13.88671875" customWidth="1"/>
    <col min="10750" max="10750" width="14.5546875" customWidth="1"/>
    <col min="10751" max="10751" width="15.5546875" customWidth="1"/>
    <col min="10752" max="10752" width="14.5546875" customWidth="1"/>
    <col min="10753" max="10753" width="16.5546875" customWidth="1"/>
    <col min="10754" max="10754" width="14.5546875" customWidth="1"/>
    <col min="10755" max="10755" width="11.5546875" customWidth="1"/>
    <col min="10756" max="10756" width="12.88671875" customWidth="1"/>
    <col min="10757" max="10758" width="13.5546875" customWidth="1"/>
    <col min="10759" max="10759" width="13.44140625" bestFit="1" customWidth="1"/>
    <col min="11003" max="11003" width="6.109375" customWidth="1"/>
    <col min="11004" max="11004" width="28.109375" customWidth="1"/>
    <col min="11005" max="11005" width="13.88671875" customWidth="1"/>
    <col min="11006" max="11006" width="14.5546875" customWidth="1"/>
    <col min="11007" max="11007" width="15.5546875" customWidth="1"/>
    <col min="11008" max="11008" width="14.5546875" customWidth="1"/>
    <col min="11009" max="11009" width="16.5546875" customWidth="1"/>
    <col min="11010" max="11010" width="14.5546875" customWidth="1"/>
    <col min="11011" max="11011" width="11.5546875" customWidth="1"/>
    <col min="11012" max="11012" width="12.88671875" customWidth="1"/>
    <col min="11013" max="11014" width="13.5546875" customWidth="1"/>
    <col min="11015" max="11015" width="13.44140625" bestFit="1" customWidth="1"/>
    <col min="11259" max="11259" width="6.109375" customWidth="1"/>
    <col min="11260" max="11260" width="28.109375" customWidth="1"/>
    <col min="11261" max="11261" width="13.88671875" customWidth="1"/>
    <col min="11262" max="11262" width="14.5546875" customWidth="1"/>
    <col min="11263" max="11263" width="15.5546875" customWidth="1"/>
    <col min="11264" max="11264" width="14.5546875" customWidth="1"/>
    <col min="11265" max="11265" width="16.5546875" customWidth="1"/>
    <col min="11266" max="11266" width="14.5546875" customWidth="1"/>
    <col min="11267" max="11267" width="11.5546875" customWidth="1"/>
    <col min="11268" max="11268" width="12.88671875" customWidth="1"/>
    <col min="11269" max="11270" width="13.5546875" customWidth="1"/>
    <col min="11271" max="11271" width="13.44140625" bestFit="1" customWidth="1"/>
    <col min="11515" max="11515" width="6.109375" customWidth="1"/>
    <col min="11516" max="11516" width="28.109375" customWidth="1"/>
    <col min="11517" max="11517" width="13.88671875" customWidth="1"/>
    <col min="11518" max="11518" width="14.5546875" customWidth="1"/>
    <col min="11519" max="11519" width="15.5546875" customWidth="1"/>
    <col min="11520" max="11520" width="14.5546875" customWidth="1"/>
    <col min="11521" max="11521" width="16.5546875" customWidth="1"/>
    <col min="11522" max="11522" width="14.5546875" customWidth="1"/>
    <col min="11523" max="11523" width="11.5546875" customWidth="1"/>
    <col min="11524" max="11524" width="12.88671875" customWidth="1"/>
    <col min="11525" max="11526" width="13.5546875" customWidth="1"/>
    <col min="11527" max="11527" width="13.44140625" bestFit="1" customWidth="1"/>
    <col min="11771" max="11771" width="6.109375" customWidth="1"/>
    <col min="11772" max="11772" width="28.109375" customWidth="1"/>
    <col min="11773" max="11773" width="13.88671875" customWidth="1"/>
    <col min="11774" max="11774" width="14.5546875" customWidth="1"/>
    <col min="11775" max="11775" width="15.5546875" customWidth="1"/>
    <col min="11776" max="11776" width="14.5546875" customWidth="1"/>
    <col min="11777" max="11777" width="16.5546875" customWidth="1"/>
    <col min="11778" max="11778" width="14.5546875" customWidth="1"/>
    <col min="11779" max="11779" width="11.5546875" customWidth="1"/>
    <col min="11780" max="11780" width="12.88671875" customWidth="1"/>
    <col min="11781" max="11782" width="13.5546875" customWidth="1"/>
    <col min="11783" max="11783" width="13.44140625" bestFit="1" customWidth="1"/>
    <col min="12027" max="12027" width="6.109375" customWidth="1"/>
    <col min="12028" max="12028" width="28.109375" customWidth="1"/>
    <col min="12029" max="12029" width="13.88671875" customWidth="1"/>
    <col min="12030" max="12030" width="14.5546875" customWidth="1"/>
    <col min="12031" max="12031" width="15.5546875" customWidth="1"/>
    <col min="12032" max="12032" width="14.5546875" customWidth="1"/>
    <col min="12033" max="12033" width="16.5546875" customWidth="1"/>
    <col min="12034" max="12034" width="14.5546875" customWidth="1"/>
    <col min="12035" max="12035" width="11.5546875" customWidth="1"/>
    <col min="12036" max="12036" width="12.88671875" customWidth="1"/>
    <col min="12037" max="12038" width="13.5546875" customWidth="1"/>
    <col min="12039" max="12039" width="13.44140625" bestFit="1" customWidth="1"/>
    <col min="12283" max="12283" width="6.109375" customWidth="1"/>
    <col min="12284" max="12284" width="28.109375" customWidth="1"/>
    <col min="12285" max="12285" width="13.88671875" customWidth="1"/>
    <col min="12286" max="12286" width="14.5546875" customWidth="1"/>
    <col min="12287" max="12287" width="15.5546875" customWidth="1"/>
    <col min="12288" max="12288" width="14.5546875" customWidth="1"/>
    <col min="12289" max="12289" width="16.5546875" customWidth="1"/>
    <col min="12290" max="12290" width="14.5546875" customWidth="1"/>
    <col min="12291" max="12291" width="11.5546875" customWidth="1"/>
    <col min="12292" max="12292" width="12.88671875" customWidth="1"/>
    <col min="12293" max="12294" width="13.5546875" customWidth="1"/>
    <col min="12295" max="12295" width="13.44140625" bestFit="1" customWidth="1"/>
    <col min="12539" max="12539" width="6.109375" customWidth="1"/>
    <col min="12540" max="12540" width="28.109375" customWidth="1"/>
    <col min="12541" max="12541" width="13.88671875" customWidth="1"/>
    <col min="12542" max="12542" width="14.5546875" customWidth="1"/>
    <col min="12543" max="12543" width="15.5546875" customWidth="1"/>
    <col min="12544" max="12544" width="14.5546875" customWidth="1"/>
    <col min="12545" max="12545" width="16.5546875" customWidth="1"/>
    <col min="12546" max="12546" width="14.5546875" customWidth="1"/>
    <col min="12547" max="12547" width="11.5546875" customWidth="1"/>
    <col min="12548" max="12548" width="12.88671875" customWidth="1"/>
    <col min="12549" max="12550" width="13.5546875" customWidth="1"/>
    <col min="12551" max="12551" width="13.44140625" bestFit="1" customWidth="1"/>
    <col min="12795" max="12795" width="6.109375" customWidth="1"/>
    <col min="12796" max="12796" width="28.109375" customWidth="1"/>
    <col min="12797" max="12797" width="13.88671875" customWidth="1"/>
    <col min="12798" max="12798" width="14.5546875" customWidth="1"/>
    <col min="12799" max="12799" width="15.5546875" customWidth="1"/>
    <col min="12800" max="12800" width="14.5546875" customWidth="1"/>
    <col min="12801" max="12801" width="16.5546875" customWidth="1"/>
    <col min="12802" max="12802" width="14.5546875" customWidth="1"/>
    <col min="12803" max="12803" width="11.5546875" customWidth="1"/>
    <col min="12804" max="12804" width="12.88671875" customWidth="1"/>
    <col min="12805" max="12806" width="13.5546875" customWidth="1"/>
    <col min="12807" max="12807" width="13.44140625" bestFit="1" customWidth="1"/>
    <col min="13051" max="13051" width="6.109375" customWidth="1"/>
    <col min="13052" max="13052" width="28.109375" customWidth="1"/>
    <col min="13053" max="13053" width="13.88671875" customWidth="1"/>
    <col min="13054" max="13054" width="14.5546875" customWidth="1"/>
    <col min="13055" max="13055" width="15.5546875" customWidth="1"/>
    <col min="13056" max="13056" width="14.5546875" customWidth="1"/>
    <col min="13057" max="13057" width="16.5546875" customWidth="1"/>
    <col min="13058" max="13058" width="14.5546875" customWidth="1"/>
    <col min="13059" max="13059" width="11.5546875" customWidth="1"/>
    <col min="13060" max="13060" width="12.88671875" customWidth="1"/>
    <col min="13061" max="13062" width="13.5546875" customWidth="1"/>
    <col min="13063" max="13063" width="13.44140625" bestFit="1" customWidth="1"/>
    <col min="13307" max="13307" width="6.109375" customWidth="1"/>
    <col min="13308" max="13308" width="28.109375" customWidth="1"/>
    <col min="13309" max="13309" width="13.88671875" customWidth="1"/>
    <col min="13310" max="13310" width="14.5546875" customWidth="1"/>
    <col min="13311" max="13311" width="15.5546875" customWidth="1"/>
    <col min="13312" max="13312" width="14.5546875" customWidth="1"/>
    <col min="13313" max="13313" width="16.5546875" customWidth="1"/>
    <col min="13314" max="13314" width="14.5546875" customWidth="1"/>
    <col min="13315" max="13315" width="11.5546875" customWidth="1"/>
    <col min="13316" max="13316" width="12.88671875" customWidth="1"/>
    <col min="13317" max="13318" width="13.5546875" customWidth="1"/>
    <col min="13319" max="13319" width="13.44140625" bestFit="1" customWidth="1"/>
    <col min="13563" max="13563" width="6.109375" customWidth="1"/>
    <col min="13564" max="13564" width="28.109375" customWidth="1"/>
    <col min="13565" max="13565" width="13.88671875" customWidth="1"/>
    <col min="13566" max="13566" width="14.5546875" customWidth="1"/>
    <col min="13567" max="13567" width="15.5546875" customWidth="1"/>
    <col min="13568" max="13568" width="14.5546875" customWidth="1"/>
    <col min="13569" max="13569" width="16.5546875" customWidth="1"/>
    <col min="13570" max="13570" width="14.5546875" customWidth="1"/>
    <col min="13571" max="13571" width="11.5546875" customWidth="1"/>
    <col min="13572" max="13572" width="12.88671875" customWidth="1"/>
    <col min="13573" max="13574" width="13.5546875" customWidth="1"/>
    <col min="13575" max="13575" width="13.44140625" bestFit="1" customWidth="1"/>
    <col min="13819" max="13819" width="6.109375" customWidth="1"/>
    <col min="13820" max="13820" width="28.109375" customWidth="1"/>
    <col min="13821" max="13821" width="13.88671875" customWidth="1"/>
    <col min="13822" max="13822" width="14.5546875" customWidth="1"/>
    <col min="13823" max="13823" width="15.5546875" customWidth="1"/>
    <col min="13824" max="13824" width="14.5546875" customWidth="1"/>
    <col min="13825" max="13825" width="16.5546875" customWidth="1"/>
    <col min="13826" max="13826" width="14.5546875" customWidth="1"/>
    <col min="13827" max="13827" width="11.5546875" customWidth="1"/>
    <col min="13828" max="13828" width="12.88671875" customWidth="1"/>
    <col min="13829" max="13830" width="13.5546875" customWidth="1"/>
    <col min="13831" max="13831" width="13.44140625" bestFit="1" customWidth="1"/>
    <col min="14075" max="14075" width="6.109375" customWidth="1"/>
    <col min="14076" max="14076" width="28.109375" customWidth="1"/>
    <col min="14077" max="14077" width="13.88671875" customWidth="1"/>
    <col min="14078" max="14078" width="14.5546875" customWidth="1"/>
    <col min="14079" max="14079" width="15.5546875" customWidth="1"/>
    <col min="14080" max="14080" width="14.5546875" customWidth="1"/>
    <col min="14081" max="14081" width="16.5546875" customWidth="1"/>
    <col min="14082" max="14082" width="14.5546875" customWidth="1"/>
    <col min="14083" max="14083" width="11.5546875" customWidth="1"/>
    <col min="14084" max="14084" width="12.88671875" customWidth="1"/>
    <col min="14085" max="14086" width="13.5546875" customWidth="1"/>
    <col min="14087" max="14087" width="13.44140625" bestFit="1" customWidth="1"/>
    <col min="14331" max="14331" width="6.109375" customWidth="1"/>
    <col min="14332" max="14332" width="28.109375" customWidth="1"/>
    <col min="14333" max="14333" width="13.88671875" customWidth="1"/>
    <col min="14334" max="14334" width="14.5546875" customWidth="1"/>
    <col min="14335" max="14335" width="15.5546875" customWidth="1"/>
    <col min="14336" max="14336" width="14.5546875" customWidth="1"/>
    <col min="14337" max="14337" width="16.5546875" customWidth="1"/>
    <col min="14338" max="14338" width="14.5546875" customWidth="1"/>
    <col min="14339" max="14339" width="11.5546875" customWidth="1"/>
    <col min="14340" max="14340" width="12.88671875" customWidth="1"/>
    <col min="14341" max="14342" width="13.5546875" customWidth="1"/>
    <col min="14343" max="14343" width="13.44140625" bestFit="1" customWidth="1"/>
    <col min="14587" max="14587" width="6.109375" customWidth="1"/>
    <col min="14588" max="14588" width="28.109375" customWidth="1"/>
    <col min="14589" max="14589" width="13.88671875" customWidth="1"/>
    <col min="14590" max="14590" width="14.5546875" customWidth="1"/>
    <col min="14591" max="14591" width="15.5546875" customWidth="1"/>
    <col min="14592" max="14592" width="14.5546875" customWidth="1"/>
    <col min="14593" max="14593" width="16.5546875" customWidth="1"/>
    <col min="14594" max="14594" width="14.5546875" customWidth="1"/>
    <col min="14595" max="14595" width="11.5546875" customWidth="1"/>
    <col min="14596" max="14596" width="12.88671875" customWidth="1"/>
    <col min="14597" max="14598" width="13.5546875" customWidth="1"/>
    <col min="14599" max="14599" width="13.44140625" bestFit="1" customWidth="1"/>
    <col min="14843" max="14843" width="6.109375" customWidth="1"/>
    <col min="14844" max="14844" width="28.109375" customWidth="1"/>
    <col min="14845" max="14845" width="13.88671875" customWidth="1"/>
    <col min="14846" max="14846" width="14.5546875" customWidth="1"/>
    <col min="14847" max="14847" width="15.5546875" customWidth="1"/>
    <col min="14848" max="14848" width="14.5546875" customWidth="1"/>
    <col min="14849" max="14849" width="16.5546875" customWidth="1"/>
    <col min="14850" max="14850" width="14.5546875" customWidth="1"/>
    <col min="14851" max="14851" width="11.5546875" customWidth="1"/>
    <col min="14852" max="14852" width="12.88671875" customWidth="1"/>
    <col min="14853" max="14854" width="13.5546875" customWidth="1"/>
    <col min="14855" max="14855" width="13.44140625" bestFit="1" customWidth="1"/>
    <col min="15099" max="15099" width="6.109375" customWidth="1"/>
    <col min="15100" max="15100" width="28.109375" customWidth="1"/>
    <col min="15101" max="15101" width="13.88671875" customWidth="1"/>
    <col min="15102" max="15102" width="14.5546875" customWidth="1"/>
    <col min="15103" max="15103" width="15.5546875" customWidth="1"/>
    <col min="15104" max="15104" width="14.5546875" customWidth="1"/>
    <col min="15105" max="15105" width="16.5546875" customWidth="1"/>
    <col min="15106" max="15106" width="14.5546875" customWidth="1"/>
    <col min="15107" max="15107" width="11.5546875" customWidth="1"/>
    <col min="15108" max="15108" width="12.88671875" customWidth="1"/>
    <col min="15109" max="15110" width="13.5546875" customWidth="1"/>
    <col min="15111" max="15111" width="13.44140625" bestFit="1" customWidth="1"/>
    <col min="15355" max="15355" width="6.109375" customWidth="1"/>
    <col min="15356" max="15356" width="28.109375" customWidth="1"/>
    <col min="15357" max="15357" width="13.88671875" customWidth="1"/>
    <col min="15358" max="15358" width="14.5546875" customWidth="1"/>
    <col min="15359" max="15359" width="15.5546875" customWidth="1"/>
    <col min="15360" max="15360" width="14.5546875" customWidth="1"/>
    <col min="15361" max="15361" width="16.5546875" customWidth="1"/>
    <col min="15362" max="15362" width="14.5546875" customWidth="1"/>
    <col min="15363" max="15363" width="11.5546875" customWidth="1"/>
    <col min="15364" max="15364" width="12.88671875" customWidth="1"/>
    <col min="15365" max="15366" width="13.5546875" customWidth="1"/>
    <col min="15367" max="15367" width="13.44140625" bestFit="1" customWidth="1"/>
    <col min="15611" max="15611" width="6.109375" customWidth="1"/>
    <col min="15612" max="15612" width="28.109375" customWidth="1"/>
    <col min="15613" max="15613" width="13.88671875" customWidth="1"/>
    <col min="15614" max="15614" width="14.5546875" customWidth="1"/>
    <col min="15615" max="15615" width="15.5546875" customWidth="1"/>
    <col min="15616" max="15616" width="14.5546875" customWidth="1"/>
    <col min="15617" max="15617" width="16.5546875" customWidth="1"/>
    <col min="15618" max="15618" width="14.5546875" customWidth="1"/>
    <col min="15619" max="15619" width="11.5546875" customWidth="1"/>
    <col min="15620" max="15620" width="12.88671875" customWidth="1"/>
    <col min="15621" max="15622" width="13.5546875" customWidth="1"/>
    <col min="15623" max="15623" width="13.44140625" bestFit="1" customWidth="1"/>
    <col min="15867" max="15867" width="6.109375" customWidth="1"/>
    <col min="15868" max="15868" width="28.109375" customWidth="1"/>
    <col min="15869" max="15869" width="13.88671875" customWidth="1"/>
    <col min="15870" max="15870" width="14.5546875" customWidth="1"/>
    <col min="15871" max="15871" width="15.5546875" customWidth="1"/>
    <col min="15872" max="15872" width="14.5546875" customWidth="1"/>
    <col min="15873" max="15873" width="16.5546875" customWidth="1"/>
    <col min="15874" max="15874" width="14.5546875" customWidth="1"/>
    <col min="15875" max="15875" width="11.5546875" customWidth="1"/>
    <col min="15876" max="15876" width="12.88671875" customWidth="1"/>
    <col min="15877" max="15878" width="13.5546875" customWidth="1"/>
    <col min="15879" max="15879" width="13.44140625" bestFit="1" customWidth="1"/>
    <col min="16123" max="16123" width="6.109375" customWidth="1"/>
    <col min="16124" max="16124" width="28.109375" customWidth="1"/>
    <col min="16125" max="16125" width="13.88671875" customWidth="1"/>
    <col min="16126" max="16126" width="14.5546875" customWidth="1"/>
    <col min="16127" max="16127" width="15.5546875" customWidth="1"/>
    <col min="16128" max="16128" width="14.5546875" customWidth="1"/>
    <col min="16129" max="16129" width="16.5546875" customWidth="1"/>
    <col min="16130" max="16130" width="14.5546875" customWidth="1"/>
    <col min="16131" max="16131" width="11.5546875" customWidth="1"/>
    <col min="16132" max="16132" width="12.88671875" customWidth="1"/>
    <col min="16133" max="16134" width="13.5546875" customWidth="1"/>
    <col min="16135" max="16135" width="13.44140625" bestFit="1" customWidth="1"/>
  </cols>
  <sheetData>
    <row r="2" spans="1:13" ht="18" x14ac:dyDescent="0.35">
      <c r="B2" s="299" t="s">
        <v>435</v>
      </c>
    </row>
    <row r="3" spans="1:13" ht="18" x14ac:dyDescent="0.35">
      <c r="B3" s="29" t="s">
        <v>419</v>
      </c>
    </row>
    <row r="4" spans="1:13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1:13" s="40" customFormat="1" ht="15" customHeight="1" x14ac:dyDescent="0.3">
      <c r="A5" s="33"/>
      <c r="B5" s="36"/>
      <c r="C5" s="34" t="s">
        <v>1</v>
      </c>
      <c r="D5" s="35" t="s">
        <v>2</v>
      </c>
      <c r="E5" s="36" t="s">
        <v>3</v>
      </c>
      <c r="F5" s="36" t="s">
        <v>4</v>
      </c>
      <c r="G5" s="36" t="s">
        <v>5</v>
      </c>
      <c r="H5" s="36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8"/>
    </row>
    <row r="6" spans="1:13" ht="91.35" customHeight="1" x14ac:dyDescent="0.3">
      <c r="A6" s="367" t="s">
        <v>189</v>
      </c>
      <c r="B6" s="302" t="s">
        <v>357</v>
      </c>
      <c r="C6" s="368" t="s">
        <v>436</v>
      </c>
      <c r="D6" s="369" t="s">
        <v>12</v>
      </c>
      <c r="E6" s="369" t="s">
        <v>13</v>
      </c>
      <c r="F6" s="369" t="s">
        <v>14</v>
      </c>
      <c r="G6" s="369" t="s">
        <v>15</v>
      </c>
      <c r="H6" s="369" t="s">
        <v>191</v>
      </c>
      <c r="I6" s="370" t="s">
        <v>17</v>
      </c>
      <c r="J6" s="370" t="s">
        <v>18</v>
      </c>
      <c r="K6" s="370" t="s">
        <v>19</v>
      </c>
      <c r="L6" s="370" t="s">
        <v>360</v>
      </c>
      <c r="M6" s="369" t="s">
        <v>193</v>
      </c>
    </row>
    <row r="7" spans="1:13" s="40" customFormat="1" x14ac:dyDescent="0.3">
      <c r="A7" s="44"/>
      <c r="B7" s="302" t="s">
        <v>437</v>
      </c>
      <c r="C7" s="303">
        <f>I15</f>
        <v>5813589.4699999997</v>
      </c>
      <c r="D7" s="303">
        <f>E7+F7+G7+H7+I7+J7+K7+L7</f>
        <v>1089088.98</v>
      </c>
      <c r="E7" s="303">
        <v>45502.49</v>
      </c>
      <c r="F7" s="303">
        <v>167489.76</v>
      </c>
      <c r="G7" s="303">
        <v>306778.49</v>
      </c>
      <c r="H7" s="303">
        <v>36044.25</v>
      </c>
      <c r="I7" s="303">
        <v>24947.11</v>
      </c>
      <c r="J7" s="303">
        <v>6782.47</v>
      </c>
      <c r="K7" s="303">
        <v>335626.1</v>
      </c>
      <c r="L7" s="303">
        <v>165918.31</v>
      </c>
      <c r="M7" s="411">
        <v>74</v>
      </c>
    </row>
    <row r="8" spans="1:13" x14ac:dyDescent="0.3">
      <c r="A8" s="51"/>
      <c r="B8" s="52"/>
      <c r="C8" s="50"/>
      <c r="D8" s="49"/>
      <c r="E8" s="50"/>
      <c r="F8" s="50"/>
      <c r="G8" s="50"/>
      <c r="H8" s="50"/>
      <c r="I8" s="50"/>
      <c r="J8" s="50"/>
      <c r="K8" s="50"/>
      <c r="L8" s="50"/>
      <c r="M8" s="414"/>
    </row>
    <row r="9" spans="1:13" x14ac:dyDescent="0.3">
      <c r="A9" s="30"/>
      <c r="B9" s="30"/>
      <c r="C9" s="30"/>
      <c r="D9" s="55"/>
      <c r="E9" s="55"/>
      <c r="F9" s="30"/>
      <c r="G9" s="30"/>
      <c r="H9" s="30"/>
      <c r="I9" s="30"/>
      <c r="J9" s="30"/>
      <c r="K9" s="30"/>
      <c r="L9" s="31"/>
    </row>
    <row r="10" spans="1:13" x14ac:dyDescent="0.3">
      <c r="A10" s="30"/>
      <c r="B10" s="30"/>
      <c r="C10" s="30"/>
      <c r="D10" s="55"/>
      <c r="E10" s="55"/>
      <c r="F10" s="30"/>
      <c r="G10" s="30"/>
      <c r="H10" s="30"/>
      <c r="I10" s="30"/>
      <c r="J10" s="30"/>
      <c r="K10" s="30"/>
      <c r="L10" s="31"/>
    </row>
    <row r="11" spans="1:13" x14ac:dyDescent="0.3">
      <c r="A11" s="30"/>
      <c r="B11" s="95" t="s">
        <v>197</v>
      </c>
      <c r="C11" s="30"/>
      <c r="D11" s="30"/>
      <c r="E11" s="30"/>
      <c r="F11" s="30"/>
      <c r="G11" s="30"/>
      <c r="H11" s="30"/>
      <c r="I11" s="30"/>
      <c r="J11" s="30"/>
      <c r="K11" s="95"/>
      <c r="L11" s="30"/>
    </row>
    <row r="12" spans="1:13" s="40" customFormat="1" ht="57.6" x14ac:dyDescent="0.3">
      <c r="A12" s="38" t="s">
        <v>189</v>
      </c>
      <c r="B12" s="59" t="s">
        <v>361</v>
      </c>
      <c r="C12" s="59" t="s">
        <v>199</v>
      </c>
      <c r="D12" s="59" t="s">
        <v>200</v>
      </c>
      <c r="E12" s="59" t="s">
        <v>201</v>
      </c>
      <c r="F12" s="59" t="s">
        <v>202</v>
      </c>
      <c r="G12" s="59" t="s">
        <v>53</v>
      </c>
      <c r="H12" s="59" t="s">
        <v>203</v>
      </c>
      <c r="I12" s="59" t="s">
        <v>204</v>
      </c>
      <c r="K12" s="89"/>
      <c r="L12" s="96"/>
    </row>
    <row r="13" spans="1:13" s="374" customFormat="1" ht="28.8" x14ac:dyDescent="0.3">
      <c r="A13" s="361">
        <v>1</v>
      </c>
      <c r="B13" s="361" t="s">
        <v>438</v>
      </c>
      <c r="C13" s="361">
        <v>1980</v>
      </c>
      <c r="D13" s="361" t="s">
        <v>439</v>
      </c>
      <c r="E13" s="371" t="s">
        <v>440</v>
      </c>
      <c r="F13" s="371" t="s">
        <v>441</v>
      </c>
      <c r="G13" s="361">
        <v>3511</v>
      </c>
      <c r="H13" s="372">
        <v>2</v>
      </c>
      <c r="I13" s="373">
        <f>G13*1200</f>
        <v>4213200</v>
      </c>
      <c r="K13" s="375"/>
      <c r="L13" s="376"/>
    </row>
    <row r="14" spans="1:13" s="374" customFormat="1" ht="43.2" x14ac:dyDescent="0.3">
      <c r="A14" s="361">
        <v>2</v>
      </c>
      <c r="B14" s="361" t="s">
        <v>442</v>
      </c>
      <c r="C14" s="361">
        <v>1980</v>
      </c>
      <c r="D14" s="361">
        <v>2004.2017000000001</v>
      </c>
      <c r="E14" s="361" t="s">
        <v>443</v>
      </c>
      <c r="F14" s="361" t="s">
        <v>444</v>
      </c>
      <c r="G14" s="361">
        <v>937</v>
      </c>
      <c r="H14" s="372">
        <v>1</v>
      </c>
      <c r="I14" s="373">
        <v>1600389.47</v>
      </c>
      <c r="L14" s="376"/>
    </row>
    <row r="15" spans="1:13" s="378" customFormat="1" x14ac:dyDescent="0.3">
      <c r="A15" s="310"/>
      <c r="B15" s="307" t="s">
        <v>83</v>
      </c>
      <c r="C15" s="310"/>
      <c r="D15" s="307"/>
      <c r="E15" s="310"/>
      <c r="F15" s="310"/>
      <c r="G15" s="310"/>
      <c r="H15" s="310"/>
      <c r="I15" s="377">
        <f>SUM(I13:I14)</f>
        <v>5813589.4699999997</v>
      </c>
      <c r="J15" s="21"/>
    </row>
    <row r="16" spans="1:13" s="1" customFormat="1" x14ac:dyDescent="0.3">
      <c r="A16"/>
      <c r="B16" s="56"/>
      <c r="C16"/>
      <c r="D16" s="56"/>
      <c r="E16" s="56"/>
      <c r="F16"/>
      <c r="G16"/>
      <c r="H16"/>
      <c r="I16"/>
      <c r="J16"/>
      <c r="K16"/>
    </row>
    <row r="17" spans="1:23" s="1" customFormat="1" x14ac:dyDescent="0.3">
      <c r="A17"/>
      <c r="B17" s="379" t="s">
        <v>394</v>
      </c>
      <c r="C17"/>
      <c r="D17" s="56"/>
      <c r="E17" s="56"/>
      <c r="F17"/>
      <c r="G17"/>
      <c r="H17"/>
      <c r="I17"/>
      <c r="J17"/>
      <c r="K17"/>
    </row>
    <row r="18" spans="1:23" s="1" customFormat="1" ht="96.6" customHeight="1" x14ac:dyDescent="0.3">
      <c r="A18" s="41" t="s">
        <v>189</v>
      </c>
      <c r="B18" s="317" t="s">
        <v>373</v>
      </c>
      <c r="C18" s="380" t="s">
        <v>445</v>
      </c>
      <c r="D18" s="381"/>
      <c r="E18" s="381"/>
      <c r="F18" s="89"/>
      <c r="G18" s="89"/>
      <c r="H18"/>
      <c r="I18"/>
      <c r="J18"/>
      <c r="K18"/>
    </row>
    <row r="19" spans="1:23" s="1" customFormat="1" x14ac:dyDescent="0.3">
      <c r="A19" s="360">
        <v>1</v>
      </c>
      <c r="B19" s="382" t="s">
        <v>446</v>
      </c>
      <c r="C19" s="383">
        <v>4508.1400000000003</v>
      </c>
      <c r="D19" s="384"/>
      <c r="E19" s="384"/>
      <c r="F19" s="384"/>
      <c r="G19" s="385"/>
      <c r="H19"/>
      <c r="I19"/>
      <c r="J19"/>
      <c r="K19" s="386"/>
      <c r="L19" s="387"/>
    </row>
    <row r="20" spans="1:23" ht="18.75" customHeight="1" x14ac:dyDescent="0.3">
      <c r="B20" s="32"/>
      <c r="C20" s="57"/>
      <c r="D20" s="57"/>
      <c r="E20" s="57"/>
      <c r="F20" s="57"/>
      <c r="G20" s="57"/>
      <c r="H20" s="57"/>
      <c r="I20" s="57"/>
      <c r="J20" s="57"/>
      <c r="K20" s="57"/>
      <c r="L20" s="57"/>
    </row>
    <row r="21" spans="1:23" ht="17.25" customHeight="1" x14ac:dyDescent="0.3">
      <c r="B21" s="32"/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1:23" ht="23.25" customHeight="1" thickBot="1" x14ac:dyDescent="0.35">
      <c r="B22" s="320" t="s">
        <v>607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</row>
    <row r="23" spans="1:23" s="323" customFormat="1" ht="15" customHeight="1" thickBot="1" x14ac:dyDescent="0.35">
      <c r="A23" s="953"/>
      <c r="B23" s="955" t="s">
        <v>381</v>
      </c>
      <c r="C23" s="957" t="s">
        <v>37</v>
      </c>
      <c r="D23" s="957"/>
      <c r="E23" s="957"/>
      <c r="F23" s="958"/>
      <c r="G23" s="958"/>
      <c r="H23" s="958"/>
      <c r="I23" s="958"/>
      <c r="J23" s="958"/>
      <c r="K23" s="958"/>
      <c r="L23" s="958"/>
      <c r="M23" s="958"/>
      <c r="N23" s="958"/>
      <c r="O23" s="958"/>
      <c r="P23" s="959"/>
      <c r="Q23" s="322"/>
      <c r="R23" s="322"/>
      <c r="S23" s="321"/>
      <c r="T23" s="943" t="s">
        <v>38</v>
      </c>
      <c r="U23" s="960"/>
      <c r="V23" s="388"/>
      <c r="W23" s="388"/>
    </row>
    <row r="24" spans="1:23" s="334" customFormat="1" ht="56.4" thickTop="1" thickBot="1" x14ac:dyDescent="0.35">
      <c r="A24" s="954"/>
      <c r="B24" s="956"/>
      <c r="C24" s="945" t="s">
        <v>41</v>
      </c>
      <c r="D24" s="945"/>
      <c r="E24" s="961"/>
      <c r="F24" s="946"/>
      <c r="G24" s="947" t="s">
        <v>43</v>
      </c>
      <c r="H24" s="948"/>
      <c r="I24" s="949"/>
      <c r="J24" s="950" t="s">
        <v>382</v>
      </c>
      <c r="K24" s="951"/>
      <c r="L24" s="952"/>
      <c r="M24" s="962" t="s">
        <v>384</v>
      </c>
      <c r="N24" s="963"/>
      <c r="O24" s="964"/>
      <c r="P24" s="325" t="s">
        <v>447</v>
      </c>
      <c r="Q24" s="326" t="s">
        <v>385</v>
      </c>
      <c r="R24" s="327" t="s">
        <v>386</v>
      </c>
      <c r="S24" s="328" t="s">
        <v>387</v>
      </c>
      <c r="T24" s="329" t="s">
        <v>388</v>
      </c>
      <c r="U24" s="389" t="s">
        <v>391</v>
      </c>
      <c r="V24" s="390"/>
      <c r="W24" s="390"/>
    </row>
    <row r="25" spans="1:23" s="323" customFormat="1" ht="15" thickBot="1" x14ac:dyDescent="0.35">
      <c r="A25" s="335"/>
      <c r="B25" s="336" t="s">
        <v>392</v>
      </c>
      <c r="C25" s="337" t="s">
        <v>48</v>
      </c>
      <c r="D25" s="338" t="s">
        <v>393</v>
      </c>
      <c r="E25" s="338"/>
      <c r="F25" s="338" t="s">
        <v>394</v>
      </c>
      <c r="G25" s="339" t="s">
        <v>48</v>
      </c>
      <c r="H25" s="338" t="s">
        <v>393</v>
      </c>
      <c r="I25" s="340" t="s">
        <v>394</v>
      </c>
      <c r="J25" s="341" t="s">
        <v>48</v>
      </c>
      <c r="K25" s="342" t="s">
        <v>393</v>
      </c>
      <c r="L25" s="343" t="s">
        <v>394</v>
      </c>
      <c r="M25" s="339" t="s">
        <v>48</v>
      </c>
      <c r="N25" s="321" t="s">
        <v>393</v>
      </c>
      <c r="O25" s="343" t="s">
        <v>394</v>
      </c>
      <c r="P25" s="342" t="s">
        <v>48</v>
      </c>
      <c r="Q25" s="344" t="s">
        <v>48</v>
      </c>
      <c r="R25" s="345" t="s">
        <v>393</v>
      </c>
      <c r="S25" s="338" t="s">
        <v>394</v>
      </c>
      <c r="T25" s="339"/>
      <c r="U25" s="343"/>
      <c r="V25" s="388"/>
      <c r="W25" s="388"/>
    </row>
    <row r="26" spans="1:23" s="358" customFormat="1" x14ac:dyDescent="0.3">
      <c r="A26" s="391"/>
      <c r="B26" s="392" t="s">
        <v>448</v>
      </c>
      <c r="C26" s="393">
        <v>50000</v>
      </c>
      <c r="D26" s="393">
        <v>30000</v>
      </c>
      <c r="E26" s="393"/>
      <c r="F26" s="394">
        <v>1000</v>
      </c>
      <c r="G26" s="394">
        <v>25000</v>
      </c>
      <c r="H26" s="394">
        <v>10000</v>
      </c>
      <c r="I26" s="394">
        <v>1000</v>
      </c>
      <c r="J26" s="394">
        <v>10000</v>
      </c>
      <c r="K26" s="394">
        <v>8000</v>
      </c>
      <c r="L26" s="394">
        <v>500</v>
      </c>
      <c r="M26" s="394">
        <v>5000</v>
      </c>
      <c r="N26" s="395">
        <v>0</v>
      </c>
      <c r="O26" s="396">
        <v>0</v>
      </c>
      <c r="P26" s="397">
        <v>3000</v>
      </c>
      <c r="Q26" s="395">
        <v>0</v>
      </c>
      <c r="R26" s="396">
        <v>0</v>
      </c>
      <c r="S26" s="397">
        <v>0</v>
      </c>
      <c r="T26" s="398">
        <v>10000</v>
      </c>
      <c r="U26" s="399">
        <v>3000</v>
      </c>
    </row>
    <row r="27" spans="1:23" ht="15" thickBot="1" x14ac:dyDescent="0.35">
      <c r="A27" s="400"/>
      <c r="B27" s="401"/>
      <c r="C27" s="402"/>
      <c r="D27" s="403"/>
      <c r="E27" s="403"/>
      <c r="F27" s="403"/>
      <c r="G27" s="403"/>
      <c r="H27" s="403"/>
      <c r="I27" s="403"/>
      <c r="J27" s="403"/>
      <c r="K27" s="403"/>
      <c r="L27" s="404"/>
      <c r="M27" s="404"/>
      <c r="N27" s="404"/>
      <c r="O27" s="404"/>
      <c r="P27" s="404"/>
      <c r="Q27" s="404"/>
      <c r="R27" s="404"/>
      <c r="S27" s="404"/>
      <c r="T27" s="405"/>
      <c r="U27" s="406"/>
    </row>
  </sheetData>
  <mergeCells count="8">
    <mergeCell ref="A23:A24"/>
    <mergeCell ref="B23:B24"/>
    <mergeCell ref="C23:P23"/>
    <mergeCell ref="T23:U23"/>
    <mergeCell ref="C24:F24"/>
    <mergeCell ref="G24:I24"/>
    <mergeCell ref="J24:L24"/>
    <mergeCell ref="M24:O24"/>
  </mergeCells>
  <pageMargins left="0.25" right="0.22" top="0.74803149606299213" bottom="0.74803149606299213" header="0.31496062992125984" footer="0.31496062992125984"/>
  <pageSetup paperSize="9" scale="4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01100-F3F4-47C4-92CE-430AC97979B2}">
  <dimension ref="A2:S8"/>
  <sheetViews>
    <sheetView workbookViewId="0">
      <selection activeCell="I17" sqref="I17"/>
    </sheetView>
  </sheetViews>
  <sheetFormatPr defaultRowHeight="14.4" x14ac:dyDescent="0.3"/>
  <cols>
    <col min="1" max="1" width="8.88671875" style="24"/>
    <col min="2" max="2" width="12.88671875" style="24" customWidth="1"/>
    <col min="3" max="3" width="13" style="24" customWidth="1"/>
    <col min="4" max="4" width="22.5546875" style="24" bestFit="1" customWidth="1"/>
    <col min="5" max="5" width="18" style="24" customWidth="1"/>
    <col min="6" max="6" width="4.44140625" style="24" customWidth="1"/>
    <col min="7" max="7" width="6" style="24" customWidth="1"/>
    <col min="8" max="8" width="6.33203125" style="24" customWidth="1"/>
    <col min="9" max="9" width="10.88671875" style="24" customWidth="1"/>
    <col min="10" max="10" width="8.88671875" style="24"/>
    <col min="11" max="11" width="7.109375" style="24" customWidth="1"/>
    <col min="12" max="12" width="4.109375" style="24" customWidth="1"/>
    <col min="13" max="13" width="4.44140625" style="24" customWidth="1"/>
    <col min="14" max="14" width="5.109375" style="24" customWidth="1"/>
    <col min="15" max="15" width="10.5546875" style="24" customWidth="1"/>
    <col min="16" max="16" width="14.44140625" style="24" customWidth="1"/>
    <col min="17" max="18" width="10.88671875" style="24" customWidth="1"/>
    <col min="19" max="19" width="8.88671875" style="24"/>
  </cols>
  <sheetData>
    <row r="2" spans="1:19" x14ac:dyDescent="0.3">
      <c r="A2" s="315"/>
      <c r="B2" s="359" t="s">
        <v>449</v>
      </c>
    </row>
    <row r="4" spans="1:19" ht="43.2" x14ac:dyDescent="0.3">
      <c r="A4" s="360" t="s">
        <v>137</v>
      </c>
      <c r="B4" s="361" t="s">
        <v>138</v>
      </c>
      <c r="C4" s="361" t="s">
        <v>139</v>
      </c>
      <c r="D4" s="361" t="s">
        <v>140</v>
      </c>
      <c r="E4" s="361" t="s">
        <v>141</v>
      </c>
      <c r="F4" s="361" t="s">
        <v>142</v>
      </c>
      <c r="G4" s="361" t="s">
        <v>143</v>
      </c>
      <c r="H4" s="361" t="s">
        <v>144</v>
      </c>
      <c r="I4" s="361" t="s">
        <v>145</v>
      </c>
      <c r="J4" s="361" t="s">
        <v>146</v>
      </c>
      <c r="K4" s="361" t="s">
        <v>147</v>
      </c>
      <c r="L4" s="361" t="s">
        <v>148</v>
      </c>
      <c r="M4" s="361" t="s">
        <v>149</v>
      </c>
      <c r="N4" s="361" t="s">
        <v>150</v>
      </c>
      <c r="O4" s="361" t="s">
        <v>151</v>
      </c>
      <c r="P4" s="361" t="s">
        <v>152</v>
      </c>
      <c r="Q4" s="361" t="s">
        <v>153</v>
      </c>
      <c r="R4" s="361" t="s">
        <v>154</v>
      </c>
      <c r="S4" s="361" t="s">
        <v>221</v>
      </c>
    </row>
    <row r="5" spans="1:19" ht="28.8" x14ac:dyDescent="0.3">
      <c r="A5" s="360">
        <v>1</v>
      </c>
      <c r="B5" s="363" t="s">
        <v>450</v>
      </c>
      <c r="C5" s="363" t="s">
        <v>156</v>
      </c>
      <c r="D5" s="363" t="s">
        <v>451</v>
      </c>
      <c r="E5" s="362" t="s">
        <v>452</v>
      </c>
      <c r="F5" s="363">
        <v>55</v>
      </c>
      <c r="G5" s="363"/>
      <c r="H5" s="363">
        <v>5</v>
      </c>
      <c r="I5" s="363"/>
      <c r="J5" s="364">
        <v>0</v>
      </c>
      <c r="K5" s="363">
        <v>1999</v>
      </c>
      <c r="L5" s="363" t="s">
        <v>159</v>
      </c>
      <c r="M5" s="363" t="s">
        <v>159</v>
      </c>
      <c r="N5" s="363" t="s">
        <v>160</v>
      </c>
      <c r="O5" s="366" t="s">
        <v>453</v>
      </c>
      <c r="P5" s="362" t="s">
        <v>453</v>
      </c>
      <c r="Q5" s="363" t="s">
        <v>160</v>
      </c>
      <c r="R5" s="363" t="s">
        <v>159</v>
      </c>
      <c r="S5" s="363" t="s">
        <v>160</v>
      </c>
    </row>
    <row r="6" spans="1:19" s="56" customFormat="1" ht="57.6" x14ac:dyDescent="0.3">
      <c r="A6" s="361">
        <v>2</v>
      </c>
      <c r="B6" s="362" t="s">
        <v>454</v>
      </c>
      <c r="C6" s="362" t="s">
        <v>156</v>
      </c>
      <c r="D6" s="362" t="s">
        <v>455</v>
      </c>
      <c r="E6" s="362" t="s">
        <v>456</v>
      </c>
      <c r="F6" s="362">
        <v>84</v>
      </c>
      <c r="G6" s="362"/>
      <c r="H6" s="362">
        <v>5</v>
      </c>
      <c r="I6" s="362">
        <v>0</v>
      </c>
      <c r="J6" s="407">
        <v>19080</v>
      </c>
      <c r="K6" s="362">
        <v>2006</v>
      </c>
      <c r="L6" s="362" t="s">
        <v>159</v>
      </c>
      <c r="M6" s="362" t="s">
        <v>159</v>
      </c>
      <c r="N6" s="362" t="s">
        <v>159</v>
      </c>
      <c r="O6" s="408">
        <v>0</v>
      </c>
      <c r="P6" s="362" t="s">
        <v>457</v>
      </c>
      <c r="Q6" s="362" t="s">
        <v>159</v>
      </c>
      <c r="R6" s="362" t="s">
        <v>159</v>
      </c>
      <c r="S6" s="362" t="s">
        <v>160</v>
      </c>
    </row>
    <row r="7" spans="1:19" s="56" customFormat="1" ht="57.6" x14ac:dyDescent="0.3">
      <c r="A7" s="361">
        <v>3</v>
      </c>
      <c r="B7" s="362" t="s">
        <v>458</v>
      </c>
      <c r="C7" s="362" t="s">
        <v>156</v>
      </c>
      <c r="D7" s="362" t="s">
        <v>459</v>
      </c>
      <c r="E7" s="362" t="s">
        <v>460</v>
      </c>
      <c r="F7" s="362">
        <v>92</v>
      </c>
      <c r="G7" s="362"/>
      <c r="H7" s="362">
        <v>9</v>
      </c>
      <c r="I7" s="362"/>
      <c r="J7" s="407">
        <v>28980</v>
      </c>
      <c r="K7" s="362">
        <v>2013</v>
      </c>
      <c r="L7" s="362" t="s">
        <v>159</v>
      </c>
      <c r="M7" s="362" t="s">
        <v>159</v>
      </c>
      <c r="N7" s="362" t="s">
        <v>159</v>
      </c>
      <c r="O7" s="408">
        <v>0</v>
      </c>
      <c r="P7" s="362" t="s">
        <v>457</v>
      </c>
      <c r="Q7" s="362" t="s">
        <v>159</v>
      </c>
      <c r="R7" s="362" t="s">
        <v>159</v>
      </c>
      <c r="S7" s="362" t="s">
        <v>160</v>
      </c>
    </row>
    <row r="8" spans="1:19" s="409" customFormat="1" x14ac:dyDescent="0.3">
      <c r="A8" s="361">
        <v>4</v>
      </c>
      <c r="B8" s="362"/>
      <c r="C8" s="362"/>
      <c r="D8" s="362"/>
      <c r="E8" s="362"/>
      <c r="F8" s="362"/>
      <c r="G8" s="362"/>
      <c r="H8" s="362"/>
      <c r="I8" s="362"/>
      <c r="J8" s="407"/>
      <c r="K8" s="362"/>
      <c r="L8" s="362"/>
      <c r="M8" s="362"/>
      <c r="N8" s="362"/>
      <c r="O8" s="408"/>
      <c r="P8" s="362"/>
      <c r="Q8" s="362"/>
      <c r="R8" s="362"/>
      <c r="S8" s="362"/>
    </row>
  </sheetData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workbookViewId="0">
      <selection activeCell="E22" sqref="E22"/>
    </sheetView>
  </sheetViews>
  <sheetFormatPr defaultRowHeight="14.4" x14ac:dyDescent="0.3"/>
  <cols>
    <col min="1" max="1" width="3.88671875" customWidth="1"/>
    <col min="2" max="2" width="39.5546875" customWidth="1"/>
    <col min="3" max="3" width="18.44140625" customWidth="1"/>
    <col min="4" max="4" width="18.5546875" customWidth="1"/>
    <col min="5" max="5" width="26.5546875" customWidth="1"/>
    <col min="6" max="6" width="17.109375" customWidth="1"/>
    <col min="7" max="7" width="18.88671875" customWidth="1"/>
  </cols>
  <sheetData>
    <row r="1" spans="1:7" x14ac:dyDescent="0.3">
      <c r="B1" s="21" t="s">
        <v>50</v>
      </c>
    </row>
    <row r="3" spans="1:7" ht="28.8" x14ac:dyDescent="0.3">
      <c r="A3" s="17"/>
      <c r="B3" s="17" t="s">
        <v>51</v>
      </c>
      <c r="C3" s="17" t="s">
        <v>52</v>
      </c>
      <c r="D3" s="17" t="s">
        <v>53</v>
      </c>
      <c r="E3" s="17" t="s">
        <v>54</v>
      </c>
      <c r="F3" s="22" t="s">
        <v>55</v>
      </c>
      <c r="G3" s="23" t="s">
        <v>608</v>
      </c>
    </row>
    <row r="4" spans="1:7" x14ac:dyDescent="0.3">
      <c r="A4" s="17">
        <v>1</v>
      </c>
      <c r="B4" s="17" t="s">
        <v>56</v>
      </c>
      <c r="C4" s="17">
        <v>150</v>
      </c>
      <c r="D4" s="17">
        <v>150</v>
      </c>
      <c r="E4" s="23" t="s">
        <v>57</v>
      </c>
      <c r="F4" s="18">
        <f>C4*1100</f>
        <v>165000</v>
      </c>
      <c r="G4" s="18">
        <v>2000</v>
      </c>
    </row>
    <row r="5" spans="1:7" x14ac:dyDescent="0.3">
      <c r="A5" s="17">
        <v>2</v>
      </c>
      <c r="B5" s="17" t="s">
        <v>58</v>
      </c>
      <c r="C5" s="17">
        <v>200</v>
      </c>
      <c r="D5" s="17">
        <v>180</v>
      </c>
      <c r="E5" s="23" t="s">
        <v>59</v>
      </c>
      <c r="F5" s="18">
        <f t="shared" ref="F5:F9" si="0">C5*1100</f>
        <v>220000</v>
      </c>
      <c r="G5" s="18">
        <v>2000</v>
      </c>
    </row>
    <row r="6" spans="1:7" x14ac:dyDescent="0.3">
      <c r="A6" s="17">
        <v>3</v>
      </c>
      <c r="B6" s="17" t="s">
        <v>60</v>
      </c>
      <c r="C6" s="17">
        <v>150</v>
      </c>
      <c r="D6" s="17">
        <v>190</v>
      </c>
      <c r="E6" s="23" t="s">
        <v>61</v>
      </c>
      <c r="F6" s="18">
        <f t="shared" si="0"/>
        <v>165000</v>
      </c>
      <c r="G6" s="18">
        <v>2000</v>
      </c>
    </row>
    <row r="7" spans="1:7" x14ac:dyDescent="0.3">
      <c r="A7" s="17">
        <v>4</v>
      </c>
      <c r="B7" s="17" t="s">
        <v>62</v>
      </c>
      <c r="C7" s="17">
        <v>100</v>
      </c>
      <c r="D7" s="17">
        <v>150</v>
      </c>
      <c r="E7" s="23" t="s">
        <v>63</v>
      </c>
      <c r="F7" s="18">
        <f t="shared" si="0"/>
        <v>110000</v>
      </c>
      <c r="G7" s="18">
        <v>2000</v>
      </c>
    </row>
    <row r="8" spans="1:7" x14ac:dyDescent="0.3">
      <c r="A8" s="17">
        <v>5</v>
      </c>
      <c r="B8" s="17" t="s">
        <v>64</v>
      </c>
      <c r="C8" s="17">
        <v>90</v>
      </c>
      <c r="D8" s="17">
        <v>150</v>
      </c>
      <c r="E8" s="17" t="s">
        <v>57</v>
      </c>
      <c r="F8" s="18">
        <f t="shared" si="0"/>
        <v>99000</v>
      </c>
      <c r="G8" s="18">
        <v>2000</v>
      </c>
    </row>
    <row r="9" spans="1:7" x14ac:dyDescent="0.3">
      <c r="A9" s="17">
        <v>6</v>
      </c>
      <c r="B9" s="17" t="s">
        <v>65</v>
      </c>
      <c r="C9" s="17">
        <v>150</v>
      </c>
      <c r="D9" s="17">
        <v>200</v>
      </c>
      <c r="E9" s="17" t="s">
        <v>57</v>
      </c>
      <c r="F9" s="18">
        <f t="shared" si="0"/>
        <v>165000</v>
      </c>
      <c r="G9" s="18">
        <v>2000</v>
      </c>
    </row>
    <row r="10" spans="1:7" x14ac:dyDescent="0.3">
      <c r="F10" s="26">
        <f>SUM(F4:F9)</f>
        <v>924000</v>
      </c>
    </row>
  </sheetData>
  <pageMargins left="0.7" right="0.7" top="0.75" bottom="0.75" header="0.3" footer="0.3"/>
  <pageSetup paperSize="9" scale="91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27B03-BDBF-42BE-AF68-F49FF08CDC00}">
  <sheetPr>
    <pageSetUpPr fitToPage="1"/>
  </sheetPr>
  <dimension ref="A1:P18"/>
  <sheetViews>
    <sheetView topLeftCell="A7" zoomScale="85" zoomScaleNormal="85" zoomScalePageLayoutView="85" workbookViewId="0">
      <selection activeCell="A14" sqref="A14"/>
    </sheetView>
  </sheetViews>
  <sheetFormatPr defaultColWidth="8.88671875" defaultRowHeight="14.4" x14ac:dyDescent="0.3"/>
  <cols>
    <col min="1" max="1" width="6.109375" customWidth="1"/>
    <col min="2" max="2" width="28.109375" customWidth="1"/>
    <col min="3" max="3" width="13.88671875" customWidth="1"/>
    <col min="4" max="4" width="15.44140625" customWidth="1"/>
    <col min="5" max="5" width="14.44140625" customWidth="1"/>
    <col min="6" max="6" width="16.44140625" customWidth="1"/>
    <col min="7" max="7" width="14.44140625" customWidth="1"/>
    <col min="8" max="9" width="13.44140625" customWidth="1"/>
    <col min="10" max="10" width="12.88671875" customWidth="1"/>
    <col min="11" max="12" width="13.44140625" customWidth="1"/>
    <col min="13" max="13" width="13.44140625" bestFit="1" customWidth="1"/>
    <col min="27" max="27" width="9.44140625" bestFit="1" customWidth="1"/>
    <col min="257" max="257" width="6.109375" customWidth="1"/>
    <col min="258" max="258" width="28.109375" customWidth="1"/>
    <col min="259" max="259" width="13.88671875" customWidth="1"/>
    <col min="260" max="260" width="14.44140625" customWidth="1"/>
    <col min="261" max="261" width="15.44140625" customWidth="1"/>
    <col min="262" max="262" width="14.44140625" customWidth="1"/>
    <col min="263" max="263" width="16.44140625" customWidth="1"/>
    <col min="264" max="264" width="14.44140625" customWidth="1"/>
    <col min="265" max="265" width="11.44140625" customWidth="1"/>
    <col min="266" max="266" width="12.88671875" customWidth="1"/>
    <col min="267" max="268" width="13.44140625" customWidth="1"/>
    <col min="269" max="269" width="13.44140625" bestFit="1" customWidth="1"/>
    <col min="513" max="513" width="6.109375" customWidth="1"/>
    <col min="514" max="514" width="28.109375" customWidth="1"/>
    <col min="515" max="515" width="13.88671875" customWidth="1"/>
    <col min="516" max="516" width="14.44140625" customWidth="1"/>
    <col min="517" max="517" width="15.44140625" customWidth="1"/>
    <col min="518" max="518" width="14.44140625" customWidth="1"/>
    <col min="519" max="519" width="16.44140625" customWidth="1"/>
    <col min="520" max="520" width="14.44140625" customWidth="1"/>
    <col min="521" max="521" width="11.44140625" customWidth="1"/>
    <col min="522" max="522" width="12.88671875" customWidth="1"/>
    <col min="523" max="524" width="13.44140625" customWidth="1"/>
    <col min="525" max="525" width="13.44140625" bestFit="1" customWidth="1"/>
    <col min="769" max="769" width="6.109375" customWidth="1"/>
    <col min="770" max="770" width="28.109375" customWidth="1"/>
    <col min="771" max="771" width="13.88671875" customWidth="1"/>
    <col min="772" max="772" width="14.44140625" customWidth="1"/>
    <col min="773" max="773" width="15.44140625" customWidth="1"/>
    <col min="774" max="774" width="14.44140625" customWidth="1"/>
    <col min="775" max="775" width="16.44140625" customWidth="1"/>
    <col min="776" max="776" width="14.44140625" customWidth="1"/>
    <col min="777" max="777" width="11.44140625" customWidth="1"/>
    <col min="778" max="778" width="12.88671875" customWidth="1"/>
    <col min="779" max="780" width="13.44140625" customWidth="1"/>
    <col min="781" max="781" width="13.44140625" bestFit="1" customWidth="1"/>
    <col min="1025" max="1025" width="6.109375" customWidth="1"/>
    <col min="1026" max="1026" width="28.109375" customWidth="1"/>
    <col min="1027" max="1027" width="13.88671875" customWidth="1"/>
    <col min="1028" max="1028" width="14.44140625" customWidth="1"/>
    <col min="1029" max="1029" width="15.44140625" customWidth="1"/>
    <col min="1030" max="1030" width="14.44140625" customWidth="1"/>
    <col min="1031" max="1031" width="16.44140625" customWidth="1"/>
    <col min="1032" max="1032" width="14.44140625" customWidth="1"/>
    <col min="1033" max="1033" width="11.44140625" customWidth="1"/>
    <col min="1034" max="1034" width="12.88671875" customWidth="1"/>
    <col min="1035" max="1036" width="13.44140625" customWidth="1"/>
    <col min="1037" max="1037" width="13.44140625" bestFit="1" customWidth="1"/>
    <col min="1281" max="1281" width="6.109375" customWidth="1"/>
    <col min="1282" max="1282" width="28.109375" customWidth="1"/>
    <col min="1283" max="1283" width="13.88671875" customWidth="1"/>
    <col min="1284" max="1284" width="14.44140625" customWidth="1"/>
    <col min="1285" max="1285" width="15.44140625" customWidth="1"/>
    <col min="1286" max="1286" width="14.44140625" customWidth="1"/>
    <col min="1287" max="1287" width="16.44140625" customWidth="1"/>
    <col min="1288" max="1288" width="14.44140625" customWidth="1"/>
    <col min="1289" max="1289" width="11.44140625" customWidth="1"/>
    <col min="1290" max="1290" width="12.88671875" customWidth="1"/>
    <col min="1291" max="1292" width="13.44140625" customWidth="1"/>
    <col min="1293" max="1293" width="13.44140625" bestFit="1" customWidth="1"/>
    <col min="1537" max="1537" width="6.109375" customWidth="1"/>
    <col min="1538" max="1538" width="28.109375" customWidth="1"/>
    <col min="1539" max="1539" width="13.88671875" customWidth="1"/>
    <col min="1540" max="1540" width="14.44140625" customWidth="1"/>
    <col min="1541" max="1541" width="15.44140625" customWidth="1"/>
    <col min="1542" max="1542" width="14.44140625" customWidth="1"/>
    <col min="1543" max="1543" width="16.44140625" customWidth="1"/>
    <col min="1544" max="1544" width="14.44140625" customWidth="1"/>
    <col min="1545" max="1545" width="11.44140625" customWidth="1"/>
    <col min="1546" max="1546" width="12.88671875" customWidth="1"/>
    <col min="1547" max="1548" width="13.44140625" customWidth="1"/>
    <col min="1549" max="1549" width="13.44140625" bestFit="1" customWidth="1"/>
    <col min="1793" max="1793" width="6.109375" customWidth="1"/>
    <col min="1794" max="1794" width="28.109375" customWidth="1"/>
    <col min="1795" max="1795" width="13.88671875" customWidth="1"/>
    <col min="1796" max="1796" width="14.44140625" customWidth="1"/>
    <col min="1797" max="1797" width="15.44140625" customWidth="1"/>
    <col min="1798" max="1798" width="14.44140625" customWidth="1"/>
    <col min="1799" max="1799" width="16.44140625" customWidth="1"/>
    <col min="1800" max="1800" width="14.44140625" customWidth="1"/>
    <col min="1801" max="1801" width="11.44140625" customWidth="1"/>
    <col min="1802" max="1802" width="12.88671875" customWidth="1"/>
    <col min="1803" max="1804" width="13.44140625" customWidth="1"/>
    <col min="1805" max="1805" width="13.44140625" bestFit="1" customWidth="1"/>
    <col min="2049" max="2049" width="6.109375" customWidth="1"/>
    <col min="2050" max="2050" width="28.109375" customWidth="1"/>
    <col min="2051" max="2051" width="13.88671875" customWidth="1"/>
    <col min="2052" max="2052" width="14.44140625" customWidth="1"/>
    <col min="2053" max="2053" width="15.44140625" customWidth="1"/>
    <col min="2054" max="2054" width="14.44140625" customWidth="1"/>
    <col min="2055" max="2055" width="16.44140625" customWidth="1"/>
    <col min="2056" max="2056" width="14.44140625" customWidth="1"/>
    <col min="2057" max="2057" width="11.44140625" customWidth="1"/>
    <col min="2058" max="2058" width="12.88671875" customWidth="1"/>
    <col min="2059" max="2060" width="13.44140625" customWidth="1"/>
    <col min="2061" max="2061" width="13.44140625" bestFit="1" customWidth="1"/>
    <col min="2305" max="2305" width="6.109375" customWidth="1"/>
    <col min="2306" max="2306" width="28.109375" customWidth="1"/>
    <col min="2307" max="2307" width="13.88671875" customWidth="1"/>
    <col min="2308" max="2308" width="14.44140625" customWidth="1"/>
    <col min="2309" max="2309" width="15.44140625" customWidth="1"/>
    <col min="2310" max="2310" width="14.44140625" customWidth="1"/>
    <col min="2311" max="2311" width="16.44140625" customWidth="1"/>
    <col min="2312" max="2312" width="14.44140625" customWidth="1"/>
    <col min="2313" max="2313" width="11.44140625" customWidth="1"/>
    <col min="2314" max="2314" width="12.88671875" customWidth="1"/>
    <col min="2315" max="2316" width="13.44140625" customWidth="1"/>
    <col min="2317" max="2317" width="13.44140625" bestFit="1" customWidth="1"/>
    <col min="2561" max="2561" width="6.109375" customWidth="1"/>
    <col min="2562" max="2562" width="28.109375" customWidth="1"/>
    <col min="2563" max="2563" width="13.88671875" customWidth="1"/>
    <col min="2564" max="2564" width="14.44140625" customWidth="1"/>
    <col min="2565" max="2565" width="15.44140625" customWidth="1"/>
    <col min="2566" max="2566" width="14.44140625" customWidth="1"/>
    <col min="2567" max="2567" width="16.44140625" customWidth="1"/>
    <col min="2568" max="2568" width="14.44140625" customWidth="1"/>
    <col min="2569" max="2569" width="11.44140625" customWidth="1"/>
    <col min="2570" max="2570" width="12.88671875" customWidth="1"/>
    <col min="2571" max="2572" width="13.44140625" customWidth="1"/>
    <col min="2573" max="2573" width="13.44140625" bestFit="1" customWidth="1"/>
    <col min="2817" max="2817" width="6.109375" customWidth="1"/>
    <col min="2818" max="2818" width="28.109375" customWidth="1"/>
    <col min="2819" max="2819" width="13.88671875" customWidth="1"/>
    <col min="2820" max="2820" width="14.44140625" customWidth="1"/>
    <col min="2821" max="2821" width="15.44140625" customWidth="1"/>
    <col min="2822" max="2822" width="14.44140625" customWidth="1"/>
    <col min="2823" max="2823" width="16.44140625" customWidth="1"/>
    <col min="2824" max="2824" width="14.44140625" customWidth="1"/>
    <col min="2825" max="2825" width="11.44140625" customWidth="1"/>
    <col min="2826" max="2826" width="12.88671875" customWidth="1"/>
    <col min="2827" max="2828" width="13.44140625" customWidth="1"/>
    <col min="2829" max="2829" width="13.44140625" bestFit="1" customWidth="1"/>
    <col min="3073" max="3073" width="6.109375" customWidth="1"/>
    <col min="3074" max="3074" width="28.109375" customWidth="1"/>
    <col min="3075" max="3075" width="13.88671875" customWidth="1"/>
    <col min="3076" max="3076" width="14.44140625" customWidth="1"/>
    <col min="3077" max="3077" width="15.44140625" customWidth="1"/>
    <col min="3078" max="3078" width="14.44140625" customWidth="1"/>
    <col min="3079" max="3079" width="16.44140625" customWidth="1"/>
    <col min="3080" max="3080" width="14.44140625" customWidth="1"/>
    <col min="3081" max="3081" width="11.44140625" customWidth="1"/>
    <col min="3082" max="3082" width="12.88671875" customWidth="1"/>
    <col min="3083" max="3084" width="13.44140625" customWidth="1"/>
    <col min="3085" max="3085" width="13.44140625" bestFit="1" customWidth="1"/>
    <col min="3329" max="3329" width="6.109375" customWidth="1"/>
    <col min="3330" max="3330" width="28.109375" customWidth="1"/>
    <col min="3331" max="3331" width="13.88671875" customWidth="1"/>
    <col min="3332" max="3332" width="14.44140625" customWidth="1"/>
    <col min="3333" max="3333" width="15.44140625" customWidth="1"/>
    <col min="3334" max="3334" width="14.44140625" customWidth="1"/>
    <col min="3335" max="3335" width="16.44140625" customWidth="1"/>
    <col min="3336" max="3336" width="14.44140625" customWidth="1"/>
    <col min="3337" max="3337" width="11.44140625" customWidth="1"/>
    <col min="3338" max="3338" width="12.88671875" customWidth="1"/>
    <col min="3339" max="3340" width="13.44140625" customWidth="1"/>
    <col min="3341" max="3341" width="13.44140625" bestFit="1" customWidth="1"/>
    <col min="3585" max="3585" width="6.109375" customWidth="1"/>
    <col min="3586" max="3586" width="28.109375" customWidth="1"/>
    <col min="3587" max="3587" width="13.88671875" customWidth="1"/>
    <col min="3588" max="3588" width="14.44140625" customWidth="1"/>
    <col min="3589" max="3589" width="15.44140625" customWidth="1"/>
    <col min="3590" max="3590" width="14.44140625" customWidth="1"/>
    <col min="3591" max="3591" width="16.44140625" customWidth="1"/>
    <col min="3592" max="3592" width="14.44140625" customWidth="1"/>
    <col min="3593" max="3593" width="11.44140625" customWidth="1"/>
    <col min="3594" max="3594" width="12.88671875" customWidth="1"/>
    <col min="3595" max="3596" width="13.44140625" customWidth="1"/>
    <col min="3597" max="3597" width="13.44140625" bestFit="1" customWidth="1"/>
    <col min="3841" max="3841" width="6.109375" customWidth="1"/>
    <col min="3842" max="3842" width="28.109375" customWidth="1"/>
    <col min="3843" max="3843" width="13.88671875" customWidth="1"/>
    <col min="3844" max="3844" width="14.44140625" customWidth="1"/>
    <col min="3845" max="3845" width="15.44140625" customWidth="1"/>
    <col min="3846" max="3846" width="14.44140625" customWidth="1"/>
    <col min="3847" max="3847" width="16.44140625" customWidth="1"/>
    <col min="3848" max="3848" width="14.44140625" customWidth="1"/>
    <col min="3849" max="3849" width="11.44140625" customWidth="1"/>
    <col min="3850" max="3850" width="12.88671875" customWidth="1"/>
    <col min="3851" max="3852" width="13.44140625" customWidth="1"/>
    <col min="3853" max="3853" width="13.44140625" bestFit="1" customWidth="1"/>
    <col min="4097" max="4097" width="6.109375" customWidth="1"/>
    <col min="4098" max="4098" width="28.109375" customWidth="1"/>
    <col min="4099" max="4099" width="13.88671875" customWidth="1"/>
    <col min="4100" max="4100" width="14.44140625" customWidth="1"/>
    <col min="4101" max="4101" width="15.44140625" customWidth="1"/>
    <col min="4102" max="4102" width="14.44140625" customWidth="1"/>
    <col min="4103" max="4103" width="16.44140625" customWidth="1"/>
    <col min="4104" max="4104" width="14.44140625" customWidth="1"/>
    <col min="4105" max="4105" width="11.44140625" customWidth="1"/>
    <col min="4106" max="4106" width="12.88671875" customWidth="1"/>
    <col min="4107" max="4108" width="13.44140625" customWidth="1"/>
    <col min="4109" max="4109" width="13.44140625" bestFit="1" customWidth="1"/>
    <col min="4353" max="4353" width="6.109375" customWidth="1"/>
    <col min="4354" max="4354" width="28.109375" customWidth="1"/>
    <col min="4355" max="4355" width="13.88671875" customWidth="1"/>
    <col min="4356" max="4356" width="14.44140625" customWidth="1"/>
    <col min="4357" max="4357" width="15.44140625" customWidth="1"/>
    <col min="4358" max="4358" width="14.44140625" customWidth="1"/>
    <col min="4359" max="4359" width="16.44140625" customWidth="1"/>
    <col min="4360" max="4360" width="14.44140625" customWidth="1"/>
    <col min="4361" max="4361" width="11.44140625" customWidth="1"/>
    <col min="4362" max="4362" width="12.88671875" customWidth="1"/>
    <col min="4363" max="4364" width="13.44140625" customWidth="1"/>
    <col min="4365" max="4365" width="13.44140625" bestFit="1" customWidth="1"/>
    <col min="4609" max="4609" width="6.109375" customWidth="1"/>
    <col min="4610" max="4610" width="28.109375" customWidth="1"/>
    <col min="4611" max="4611" width="13.88671875" customWidth="1"/>
    <col min="4612" max="4612" width="14.44140625" customWidth="1"/>
    <col min="4613" max="4613" width="15.44140625" customWidth="1"/>
    <col min="4614" max="4614" width="14.44140625" customWidth="1"/>
    <col min="4615" max="4615" width="16.44140625" customWidth="1"/>
    <col min="4616" max="4616" width="14.44140625" customWidth="1"/>
    <col min="4617" max="4617" width="11.44140625" customWidth="1"/>
    <col min="4618" max="4618" width="12.88671875" customWidth="1"/>
    <col min="4619" max="4620" width="13.44140625" customWidth="1"/>
    <col min="4621" max="4621" width="13.44140625" bestFit="1" customWidth="1"/>
    <col min="4865" max="4865" width="6.109375" customWidth="1"/>
    <col min="4866" max="4866" width="28.109375" customWidth="1"/>
    <col min="4867" max="4867" width="13.88671875" customWidth="1"/>
    <col min="4868" max="4868" width="14.44140625" customWidth="1"/>
    <col min="4869" max="4869" width="15.44140625" customWidth="1"/>
    <col min="4870" max="4870" width="14.44140625" customWidth="1"/>
    <col min="4871" max="4871" width="16.44140625" customWidth="1"/>
    <col min="4872" max="4872" width="14.44140625" customWidth="1"/>
    <col min="4873" max="4873" width="11.44140625" customWidth="1"/>
    <col min="4874" max="4874" width="12.88671875" customWidth="1"/>
    <col min="4875" max="4876" width="13.44140625" customWidth="1"/>
    <col min="4877" max="4877" width="13.44140625" bestFit="1" customWidth="1"/>
    <col min="5121" max="5121" width="6.109375" customWidth="1"/>
    <col min="5122" max="5122" width="28.109375" customWidth="1"/>
    <col min="5123" max="5123" width="13.88671875" customWidth="1"/>
    <col min="5124" max="5124" width="14.44140625" customWidth="1"/>
    <col min="5125" max="5125" width="15.44140625" customWidth="1"/>
    <col min="5126" max="5126" width="14.44140625" customWidth="1"/>
    <col min="5127" max="5127" width="16.44140625" customWidth="1"/>
    <col min="5128" max="5128" width="14.44140625" customWidth="1"/>
    <col min="5129" max="5129" width="11.44140625" customWidth="1"/>
    <col min="5130" max="5130" width="12.88671875" customWidth="1"/>
    <col min="5131" max="5132" width="13.44140625" customWidth="1"/>
    <col min="5133" max="5133" width="13.44140625" bestFit="1" customWidth="1"/>
    <col min="5377" max="5377" width="6.109375" customWidth="1"/>
    <col min="5378" max="5378" width="28.109375" customWidth="1"/>
    <col min="5379" max="5379" width="13.88671875" customWidth="1"/>
    <col min="5380" max="5380" width="14.44140625" customWidth="1"/>
    <col min="5381" max="5381" width="15.44140625" customWidth="1"/>
    <col min="5382" max="5382" width="14.44140625" customWidth="1"/>
    <col min="5383" max="5383" width="16.44140625" customWidth="1"/>
    <col min="5384" max="5384" width="14.44140625" customWidth="1"/>
    <col min="5385" max="5385" width="11.44140625" customWidth="1"/>
    <col min="5386" max="5386" width="12.88671875" customWidth="1"/>
    <col min="5387" max="5388" width="13.44140625" customWidth="1"/>
    <col min="5389" max="5389" width="13.44140625" bestFit="1" customWidth="1"/>
    <col min="5633" max="5633" width="6.109375" customWidth="1"/>
    <col min="5634" max="5634" width="28.109375" customWidth="1"/>
    <col min="5635" max="5635" width="13.88671875" customWidth="1"/>
    <col min="5636" max="5636" width="14.44140625" customWidth="1"/>
    <col min="5637" max="5637" width="15.44140625" customWidth="1"/>
    <col min="5638" max="5638" width="14.44140625" customWidth="1"/>
    <col min="5639" max="5639" width="16.44140625" customWidth="1"/>
    <col min="5640" max="5640" width="14.44140625" customWidth="1"/>
    <col min="5641" max="5641" width="11.44140625" customWidth="1"/>
    <col min="5642" max="5642" width="12.88671875" customWidth="1"/>
    <col min="5643" max="5644" width="13.44140625" customWidth="1"/>
    <col min="5645" max="5645" width="13.44140625" bestFit="1" customWidth="1"/>
    <col min="5889" max="5889" width="6.109375" customWidth="1"/>
    <col min="5890" max="5890" width="28.109375" customWidth="1"/>
    <col min="5891" max="5891" width="13.88671875" customWidth="1"/>
    <col min="5892" max="5892" width="14.44140625" customWidth="1"/>
    <col min="5893" max="5893" width="15.44140625" customWidth="1"/>
    <col min="5894" max="5894" width="14.44140625" customWidth="1"/>
    <col min="5895" max="5895" width="16.44140625" customWidth="1"/>
    <col min="5896" max="5896" width="14.44140625" customWidth="1"/>
    <col min="5897" max="5897" width="11.44140625" customWidth="1"/>
    <col min="5898" max="5898" width="12.88671875" customWidth="1"/>
    <col min="5899" max="5900" width="13.44140625" customWidth="1"/>
    <col min="5901" max="5901" width="13.44140625" bestFit="1" customWidth="1"/>
    <col min="6145" max="6145" width="6.109375" customWidth="1"/>
    <col min="6146" max="6146" width="28.109375" customWidth="1"/>
    <col min="6147" max="6147" width="13.88671875" customWidth="1"/>
    <col min="6148" max="6148" width="14.44140625" customWidth="1"/>
    <col min="6149" max="6149" width="15.44140625" customWidth="1"/>
    <col min="6150" max="6150" width="14.44140625" customWidth="1"/>
    <col min="6151" max="6151" width="16.44140625" customWidth="1"/>
    <col min="6152" max="6152" width="14.44140625" customWidth="1"/>
    <col min="6153" max="6153" width="11.44140625" customWidth="1"/>
    <col min="6154" max="6154" width="12.88671875" customWidth="1"/>
    <col min="6155" max="6156" width="13.44140625" customWidth="1"/>
    <col min="6157" max="6157" width="13.44140625" bestFit="1" customWidth="1"/>
    <col min="6401" max="6401" width="6.109375" customWidth="1"/>
    <col min="6402" max="6402" width="28.109375" customWidth="1"/>
    <col min="6403" max="6403" width="13.88671875" customWidth="1"/>
    <col min="6404" max="6404" width="14.44140625" customWidth="1"/>
    <col min="6405" max="6405" width="15.44140625" customWidth="1"/>
    <col min="6406" max="6406" width="14.44140625" customWidth="1"/>
    <col min="6407" max="6407" width="16.44140625" customWidth="1"/>
    <col min="6408" max="6408" width="14.44140625" customWidth="1"/>
    <col min="6409" max="6409" width="11.44140625" customWidth="1"/>
    <col min="6410" max="6410" width="12.88671875" customWidth="1"/>
    <col min="6411" max="6412" width="13.44140625" customWidth="1"/>
    <col min="6413" max="6413" width="13.44140625" bestFit="1" customWidth="1"/>
    <col min="6657" max="6657" width="6.109375" customWidth="1"/>
    <col min="6658" max="6658" width="28.109375" customWidth="1"/>
    <col min="6659" max="6659" width="13.88671875" customWidth="1"/>
    <col min="6660" max="6660" width="14.44140625" customWidth="1"/>
    <col min="6661" max="6661" width="15.44140625" customWidth="1"/>
    <col min="6662" max="6662" width="14.44140625" customWidth="1"/>
    <col min="6663" max="6663" width="16.44140625" customWidth="1"/>
    <col min="6664" max="6664" width="14.44140625" customWidth="1"/>
    <col min="6665" max="6665" width="11.44140625" customWidth="1"/>
    <col min="6666" max="6666" width="12.88671875" customWidth="1"/>
    <col min="6667" max="6668" width="13.44140625" customWidth="1"/>
    <col min="6669" max="6669" width="13.44140625" bestFit="1" customWidth="1"/>
    <col min="6913" max="6913" width="6.109375" customWidth="1"/>
    <col min="6914" max="6914" width="28.109375" customWidth="1"/>
    <col min="6915" max="6915" width="13.88671875" customWidth="1"/>
    <col min="6916" max="6916" width="14.44140625" customWidth="1"/>
    <col min="6917" max="6917" width="15.44140625" customWidth="1"/>
    <col min="6918" max="6918" width="14.44140625" customWidth="1"/>
    <col min="6919" max="6919" width="16.44140625" customWidth="1"/>
    <col min="6920" max="6920" width="14.44140625" customWidth="1"/>
    <col min="6921" max="6921" width="11.44140625" customWidth="1"/>
    <col min="6922" max="6922" width="12.88671875" customWidth="1"/>
    <col min="6923" max="6924" width="13.44140625" customWidth="1"/>
    <col min="6925" max="6925" width="13.44140625" bestFit="1" customWidth="1"/>
    <col min="7169" max="7169" width="6.109375" customWidth="1"/>
    <col min="7170" max="7170" width="28.109375" customWidth="1"/>
    <col min="7171" max="7171" width="13.88671875" customWidth="1"/>
    <col min="7172" max="7172" width="14.44140625" customWidth="1"/>
    <col min="7173" max="7173" width="15.44140625" customWidth="1"/>
    <col min="7174" max="7174" width="14.44140625" customWidth="1"/>
    <col min="7175" max="7175" width="16.44140625" customWidth="1"/>
    <col min="7176" max="7176" width="14.44140625" customWidth="1"/>
    <col min="7177" max="7177" width="11.44140625" customWidth="1"/>
    <col min="7178" max="7178" width="12.88671875" customWidth="1"/>
    <col min="7179" max="7180" width="13.44140625" customWidth="1"/>
    <col min="7181" max="7181" width="13.44140625" bestFit="1" customWidth="1"/>
    <col min="7425" max="7425" width="6.109375" customWidth="1"/>
    <col min="7426" max="7426" width="28.109375" customWidth="1"/>
    <col min="7427" max="7427" width="13.88671875" customWidth="1"/>
    <col min="7428" max="7428" width="14.44140625" customWidth="1"/>
    <col min="7429" max="7429" width="15.44140625" customWidth="1"/>
    <col min="7430" max="7430" width="14.44140625" customWidth="1"/>
    <col min="7431" max="7431" width="16.44140625" customWidth="1"/>
    <col min="7432" max="7432" width="14.44140625" customWidth="1"/>
    <col min="7433" max="7433" width="11.44140625" customWidth="1"/>
    <col min="7434" max="7434" width="12.88671875" customWidth="1"/>
    <col min="7435" max="7436" width="13.44140625" customWidth="1"/>
    <col min="7437" max="7437" width="13.44140625" bestFit="1" customWidth="1"/>
    <col min="7681" max="7681" width="6.109375" customWidth="1"/>
    <col min="7682" max="7682" width="28.109375" customWidth="1"/>
    <col min="7683" max="7683" width="13.88671875" customWidth="1"/>
    <col min="7684" max="7684" width="14.44140625" customWidth="1"/>
    <col min="7685" max="7685" width="15.44140625" customWidth="1"/>
    <col min="7686" max="7686" width="14.44140625" customWidth="1"/>
    <col min="7687" max="7687" width="16.44140625" customWidth="1"/>
    <col min="7688" max="7688" width="14.44140625" customWidth="1"/>
    <col min="7689" max="7689" width="11.44140625" customWidth="1"/>
    <col min="7690" max="7690" width="12.88671875" customWidth="1"/>
    <col min="7691" max="7692" width="13.44140625" customWidth="1"/>
    <col min="7693" max="7693" width="13.44140625" bestFit="1" customWidth="1"/>
    <col min="7937" max="7937" width="6.109375" customWidth="1"/>
    <col min="7938" max="7938" width="28.109375" customWidth="1"/>
    <col min="7939" max="7939" width="13.88671875" customWidth="1"/>
    <col min="7940" max="7940" width="14.44140625" customWidth="1"/>
    <col min="7941" max="7941" width="15.44140625" customWidth="1"/>
    <col min="7942" max="7942" width="14.44140625" customWidth="1"/>
    <col min="7943" max="7943" width="16.44140625" customWidth="1"/>
    <col min="7944" max="7944" width="14.44140625" customWidth="1"/>
    <col min="7945" max="7945" width="11.44140625" customWidth="1"/>
    <col min="7946" max="7946" width="12.88671875" customWidth="1"/>
    <col min="7947" max="7948" width="13.44140625" customWidth="1"/>
    <col min="7949" max="7949" width="13.44140625" bestFit="1" customWidth="1"/>
    <col min="8193" max="8193" width="6.109375" customWidth="1"/>
    <col min="8194" max="8194" width="28.109375" customWidth="1"/>
    <col min="8195" max="8195" width="13.88671875" customWidth="1"/>
    <col min="8196" max="8196" width="14.44140625" customWidth="1"/>
    <col min="8197" max="8197" width="15.44140625" customWidth="1"/>
    <col min="8198" max="8198" width="14.44140625" customWidth="1"/>
    <col min="8199" max="8199" width="16.44140625" customWidth="1"/>
    <col min="8200" max="8200" width="14.44140625" customWidth="1"/>
    <col min="8201" max="8201" width="11.44140625" customWidth="1"/>
    <col min="8202" max="8202" width="12.88671875" customWidth="1"/>
    <col min="8203" max="8204" width="13.44140625" customWidth="1"/>
    <col min="8205" max="8205" width="13.44140625" bestFit="1" customWidth="1"/>
    <col min="8449" max="8449" width="6.109375" customWidth="1"/>
    <col min="8450" max="8450" width="28.109375" customWidth="1"/>
    <col min="8451" max="8451" width="13.88671875" customWidth="1"/>
    <col min="8452" max="8452" width="14.44140625" customWidth="1"/>
    <col min="8453" max="8453" width="15.44140625" customWidth="1"/>
    <col min="8454" max="8454" width="14.44140625" customWidth="1"/>
    <col min="8455" max="8455" width="16.44140625" customWidth="1"/>
    <col min="8456" max="8456" width="14.44140625" customWidth="1"/>
    <col min="8457" max="8457" width="11.44140625" customWidth="1"/>
    <col min="8458" max="8458" width="12.88671875" customWidth="1"/>
    <col min="8459" max="8460" width="13.44140625" customWidth="1"/>
    <col min="8461" max="8461" width="13.44140625" bestFit="1" customWidth="1"/>
    <col min="8705" max="8705" width="6.109375" customWidth="1"/>
    <col min="8706" max="8706" width="28.109375" customWidth="1"/>
    <col min="8707" max="8707" width="13.88671875" customWidth="1"/>
    <col min="8708" max="8708" width="14.44140625" customWidth="1"/>
    <col min="8709" max="8709" width="15.44140625" customWidth="1"/>
    <col min="8710" max="8710" width="14.44140625" customWidth="1"/>
    <col min="8711" max="8711" width="16.44140625" customWidth="1"/>
    <col min="8712" max="8712" width="14.44140625" customWidth="1"/>
    <col min="8713" max="8713" width="11.44140625" customWidth="1"/>
    <col min="8714" max="8714" width="12.88671875" customWidth="1"/>
    <col min="8715" max="8716" width="13.44140625" customWidth="1"/>
    <col min="8717" max="8717" width="13.44140625" bestFit="1" customWidth="1"/>
    <col min="8961" max="8961" width="6.109375" customWidth="1"/>
    <col min="8962" max="8962" width="28.109375" customWidth="1"/>
    <col min="8963" max="8963" width="13.88671875" customWidth="1"/>
    <col min="8964" max="8964" width="14.44140625" customWidth="1"/>
    <col min="8965" max="8965" width="15.44140625" customWidth="1"/>
    <col min="8966" max="8966" width="14.44140625" customWidth="1"/>
    <col min="8967" max="8967" width="16.44140625" customWidth="1"/>
    <col min="8968" max="8968" width="14.44140625" customWidth="1"/>
    <col min="8969" max="8969" width="11.44140625" customWidth="1"/>
    <col min="8970" max="8970" width="12.88671875" customWidth="1"/>
    <col min="8971" max="8972" width="13.44140625" customWidth="1"/>
    <col min="8973" max="8973" width="13.44140625" bestFit="1" customWidth="1"/>
    <col min="9217" max="9217" width="6.109375" customWidth="1"/>
    <col min="9218" max="9218" width="28.109375" customWidth="1"/>
    <col min="9219" max="9219" width="13.88671875" customWidth="1"/>
    <col min="9220" max="9220" width="14.44140625" customWidth="1"/>
    <col min="9221" max="9221" width="15.44140625" customWidth="1"/>
    <col min="9222" max="9222" width="14.44140625" customWidth="1"/>
    <col min="9223" max="9223" width="16.44140625" customWidth="1"/>
    <col min="9224" max="9224" width="14.44140625" customWidth="1"/>
    <col min="9225" max="9225" width="11.44140625" customWidth="1"/>
    <col min="9226" max="9226" width="12.88671875" customWidth="1"/>
    <col min="9227" max="9228" width="13.44140625" customWidth="1"/>
    <col min="9229" max="9229" width="13.44140625" bestFit="1" customWidth="1"/>
    <col min="9473" max="9473" width="6.109375" customWidth="1"/>
    <col min="9474" max="9474" width="28.109375" customWidth="1"/>
    <col min="9475" max="9475" width="13.88671875" customWidth="1"/>
    <col min="9476" max="9476" width="14.44140625" customWidth="1"/>
    <col min="9477" max="9477" width="15.44140625" customWidth="1"/>
    <col min="9478" max="9478" width="14.44140625" customWidth="1"/>
    <col min="9479" max="9479" width="16.44140625" customWidth="1"/>
    <col min="9480" max="9480" width="14.44140625" customWidth="1"/>
    <col min="9481" max="9481" width="11.44140625" customWidth="1"/>
    <col min="9482" max="9482" width="12.88671875" customWidth="1"/>
    <col min="9483" max="9484" width="13.44140625" customWidth="1"/>
    <col min="9485" max="9485" width="13.44140625" bestFit="1" customWidth="1"/>
    <col min="9729" max="9729" width="6.109375" customWidth="1"/>
    <col min="9730" max="9730" width="28.109375" customWidth="1"/>
    <col min="9731" max="9731" width="13.88671875" customWidth="1"/>
    <col min="9732" max="9732" width="14.44140625" customWidth="1"/>
    <col min="9733" max="9733" width="15.44140625" customWidth="1"/>
    <col min="9734" max="9734" width="14.44140625" customWidth="1"/>
    <col min="9735" max="9735" width="16.44140625" customWidth="1"/>
    <col min="9736" max="9736" width="14.44140625" customWidth="1"/>
    <col min="9737" max="9737" width="11.44140625" customWidth="1"/>
    <col min="9738" max="9738" width="12.88671875" customWidth="1"/>
    <col min="9739" max="9740" width="13.44140625" customWidth="1"/>
    <col min="9741" max="9741" width="13.44140625" bestFit="1" customWidth="1"/>
    <col min="9985" max="9985" width="6.109375" customWidth="1"/>
    <col min="9986" max="9986" width="28.109375" customWidth="1"/>
    <col min="9987" max="9987" width="13.88671875" customWidth="1"/>
    <col min="9988" max="9988" width="14.44140625" customWidth="1"/>
    <col min="9989" max="9989" width="15.44140625" customWidth="1"/>
    <col min="9990" max="9990" width="14.44140625" customWidth="1"/>
    <col min="9991" max="9991" width="16.44140625" customWidth="1"/>
    <col min="9992" max="9992" width="14.44140625" customWidth="1"/>
    <col min="9993" max="9993" width="11.44140625" customWidth="1"/>
    <col min="9994" max="9994" width="12.88671875" customWidth="1"/>
    <col min="9995" max="9996" width="13.44140625" customWidth="1"/>
    <col min="9997" max="9997" width="13.44140625" bestFit="1" customWidth="1"/>
    <col min="10241" max="10241" width="6.109375" customWidth="1"/>
    <col min="10242" max="10242" width="28.109375" customWidth="1"/>
    <col min="10243" max="10243" width="13.88671875" customWidth="1"/>
    <col min="10244" max="10244" width="14.44140625" customWidth="1"/>
    <col min="10245" max="10245" width="15.44140625" customWidth="1"/>
    <col min="10246" max="10246" width="14.44140625" customWidth="1"/>
    <col min="10247" max="10247" width="16.44140625" customWidth="1"/>
    <col min="10248" max="10248" width="14.44140625" customWidth="1"/>
    <col min="10249" max="10249" width="11.44140625" customWidth="1"/>
    <col min="10250" max="10250" width="12.88671875" customWidth="1"/>
    <col min="10251" max="10252" width="13.44140625" customWidth="1"/>
    <col min="10253" max="10253" width="13.44140625" bestFit="1" customWidth="1"/>
    <col min="10497" max="10497" width="6.109375" customWidth="1"/>
    <col min="10498" max="10498" width="28.109375" customWidth="1"/>
    <col min="10499" max="10499" width="13.88671875" customWidth="1"/>
    <col min="10500" max="10500" width="14.44140625" customWidth="1"/>
    <col min="10501" max="10501" width="15.44140625" customWidth="1"/>
    <col min="10502" max="10502" width="14.44140625" customWidth="1"/>
    <col min="10503" max="10503" width="16.44140625" customWidth="1"/>
    <col min="10504" max="10504" width="14.44140625" customWidth="1"/>
    <col min="10505" max="10505" width="11.44140625" customWidth="1"/>
    <col min="10506" max="10506" width="12.88671875" customWidth="1"/>
    <col min="10507" max="10508" width="13.44140625" customWidth="1"/>
    <col min="10509" max="10509" width="13.44140625" bestFit="1" customWidth="1"/>
    <col min="10753" max="10753" width="6.109375" customWidth="1"/>
    <col min="10754" max="10754" width="28.109375" customWidth="1"/>
    <col min="10755" max="10755" width="13.88671875" customWidth="1"/>
    <col min="10756" max="10756" width="14.44140625" customWidth="1"/>
    <col min="10757" max="10757" width="15.44140625" customWidth="1"/>
    <col min="10758" max="10758" width="14.44140625" customWidth="1"/>
    <col min="10759" max="10759" width="16.44140625" customWidth="1"/>
    <col min="10760" max="10760" width="14.44140625" customWidth="1"/>
    <col min="10761" max="10761" width="11.44140625" customWidth="1"/>
    <col min="10762" max="10762" width="12.88671875" customWidth="1"/>
    <col min="10763" max="10764" width="13.44140625" customWidth="1"/>
    <col min="10765" max="10765" width="13.44140625" bestFit="1" customWidth="1"/>
    <col min="11009" max="11009" width="6.109375" customWidth="1"/>
    <col min="11010" max="11010" width="28.109375" customWidth="1"/>
    <col min="11011" max="11011" width="13.88671875" customWidth="1"/>
    <col min="11012" max="11012" width="14.44140625" customWidth="1"/>
    <col min="11013" max="11013" width="15.44140625" customWidth="1"/>
    <col min="11014" max="11014" width="14.44140625" customWidth="1"/>
    <col min="11015" max="11015" width="16.44140625" customWidth="1"/>
    <col min="11016" max="11016" width="14.44140625" customWidth="1"/>
    <col min="11017" max="11017" width="11.44140625" customWidth="1"/>
    <col min="11018" max="11018" width="12.88671875" customWidth="1"/>
    <col min="11019" max="11020" width="13.44140625" customWidth="1"/>
    <col min="11021" max="11021" width="13.44140625" bestFit="1" customWidth="1"/>
    <col min="11265" max="11265" width="6.109375" customWidth="1"/>
    <col min="11266" max="11266" width="28.109375" customWidth="1"/>
    <col min="11267" max="11267" width="13.88671875" customWidth="1"/>
    <col min="11268" max="11268" width="14.44140625" customWidth="1"/>
    <col min="11269" max="11269" width="15.44140625" customWidth="1"/>
    <col min="11270" max="11270" width="14.44140625" customWidth="1"/>
    <col min="11271" max="11271" width="16.44140625" customWidth="1"/>
    <col min="11272" max="11272" width="14.44140625" customWidth="1"/>
    <col min="11273" max="11273" width="11.44140625" customWidth="1"/>
    <col min="11274" max="11274" width="12.88671875" customWidth="1"/>
    <col min="11275" max="11276" width="13.44140625" customWidth="1"/>
    <col min="11277" max="11277" width="13.44140625" bestFit="1" customWidth="1"/>
    <col min="11521" max="11521" width="6.109375" customWidth="1"/>
    <col min="11522" max="11522" width="28.109375" customWidth="1"/>
    <col min="11523" max="11523" width="13.88671875" customWidth="1"/>
    <col min="11524" max="11524" width="14.44140625" customWidth="1"/>
    <col min="11525" max="11525" width="15.44140625" customWidth="1"/>
    <col min="11526" max="11526" width="14.44140625" customWidth="1"/>
    <col min="11527" max="11527" width="16.44140625" customWidth="1"/>
    <col min="11528" max="11528" width="14.44140625" customWidth="1"/>
    <col min="11529" max="11529" width="11.44140625" customWidth="1"/>
    <col min="11530" max="11530" width="12.88671875" customWidth="1"/>
    <col min="11531" max="11532" width="13.44140625" customWidth="1"/>
    <col min="11533" max="11533" width="13.44140625" bestFit="1" customWidth="1"/>
    <col min="11777" max="11777" width="6.109375" customWidth="1"/>
    <col min="11778" max="11778" width="28.109375" customWidth="1"/>
    <col min="11779" max="11779" width="13.88671875" customWidth="1"/>
    <col min="11780" max="11780" width="14.44140625" customWidth="1"/>
    <col min="11781" max="11781" width="15.44140625" customWidth="1"/>
    <col min="11782" max="11782" width="14.44140625" customWidth="1"/>
    <col min="11783" max="11783" width="16.44140625" customWidth="1"/>
    <col min="11784" max="11784" width="14.44140625" customWidth="1"/>
    <col min="11785" max="11785" width="11.44140625" customWidth="1"/>
    <col min="11786" max="11786" width="12.88671875" customWidth="1"/>
    <col min="11787" max="11788" width="13.44140625" customWidth="1"/>
    <col min="11789" max="11789" width="13.44140625" bestFit="1" customWidth="1"/>
    <col min="12033" max="12033" width="6.109375" customWidth="1"/>
    <col min="12034" max="12034" width="28.109375" customWidth="1"/>
    <col min="12035" max="12035" width="13.88671875" customWidth="1"/>
    <col min="12036" max="12036" width="14.44140625" customWidth="1"/>
    <col min="12037" max="12037" width="15.44140625" customWidth="1"/>
    <col min="12038" max="12038" width="14.44140625" customWidth="1"/>
    <col min="12039" max="12039" width="16.44140625" customWidth="1"/>
    <col min="12040" max="12040" width="14.44140625" customWidth="1"/>
    <col min="12041" max="12041" width="11.44140625" customWidth="1"/>
    <col min="12042" max="12042" width="12.88671875" customWidth="1"/>
    <col min="12043" max="12044" width="13.44140625" customWidth="1"/>
    <col min="12045" max="12045" width="13.44140625" bestFit="1" customWidth="1"/>
    <col min="12289" max="12289" width="6.109375" customWidth="1"/>
    <col min="12290" max="12290" width="28.109375" customWidth="1"/>
    <col min="12291" max="12291" width="13.88671875" customWidth="1"/>
    <col min="12292" max="12292" width="14.44140625" customWidth="1"/>
    <col min="12293" max="12293" width="15.44140625" customWidth="1"/>
    <col min="12294" max="12294" width="14.44140625" customWidth="1"/>
    <col min="12295" max="12295" width="16.44140625" customWidth="1"/>
    <col min="12296" max="12296" width="14.44140625" customWidth="1"/>
    <col min="12297" max="12297" width="11.44140625" customWidth="1"/>
    <col min="12298" max="12298" width="12.88671875" customWidth="1"/>
    <col min="12299" max="12300" width="13.44140625" customWidth="1"/>
    <col min="12301" max="12301" width="13.44140625" bestFit="1" customWidth="1"/>
    <col min="12545" max="12545" width="6.109375" customWidth="1"/>
    <col min="12546" max="12546" width="28.109375" customWidth="1"/>
    <col min="12547" max="12547" width="13.88671875" customWidth="1"/>
    <col min="12548" max="12548" width="14.44140625" customWidth="1"/>
    <col min="12549" max="12549" width="15.44140625" customWidth="1"/>
    <col min="12550" max="12550" width="14.44140625" customWidth="1"/>
    <col min="12551" max="12551" width="16.44140625" customWidth="1"/>
    <col min="12552" max="12552" width="14.44140625" customWidth="1"/>
    <col min="12553" max="12553" width="11.44140625" customWidth="1"/>
    <col min="12554" max="12554" width="12.88671875" customWidth="1"/>
    <col min="12555" max="12556" width="13.44140625" customWidth="1"/>
    <col min="12557" max="12557" width="13.44140625" bestFit="1" customWidth="1"/>
    <col min="12801" max="12801" width="6.109375" customWidth="1"/>
    <col min="12802" max="12802" width="28.109375" customWidth="1"/>
    <col min="12803" max="12803" width="13.88671875" customWidth="1"/>
    <col min="12804" max="12804" width="14.44140625" customWidth="1"/>
    <col min="12805" max="12805" width="15.44140625" customWidth="1"/>
    <col min="12806" max="12806" width="14.44140625" customWidth="1"/>
    <col min="12807" max="12807" width="16.44140625" customWidth="1"/>
    <col min="12808" max="12808" width="14.44140625" customWidth="1"/>
    <col min="12809" max="12809" width="11.44140625" customWidth="1"/>
    <col min="12810" max="12810" width="12.88671875" customWidth="1"/>
    <col min="12811" max="12812" width="13.44140625" customWidth="1"/>
    <col min="12813" max="12813" width="13.44140625" bestFit="1" customWidth="1"/>
    <col min="13057" max="13057" width="6.109375" customWidth="1"/>
    <col min="13058" max="13058" width="28.109375" customWidth="1"/>
    <col min="13059" max="13059" width="13.88671875" customWidth="1"/>
    <col min="13060" max="13060" width="14.44140625" customWidth="1"/>
    <col min="13061" max="13061" width="15.44140625" customWidth="1"/>
    <col min="13062" max="13062" width="14.44140625" customWidth="1"/>
    <col min="13063" max="13063" width="16.44140625" customWidth="1"/>
    <col min="13064" max="13064" width="14.44140625" customWidth="1"/>
    <col min="13065" max="13065" width="11.44140625" customWidth="1"/>
    <col min="13066" max="13066" width="12.88671875" customWidth="1"/>
    <col min="13067" max="13068" width="13.44140625" customWidth="1"/>
    <col min="13069" max="13069" width="13.44140625" bestFit="1" customWidth="1"/>
    <col min="13313" max="13313" width="6.109375" customWidth="1"/>
    <col min="13314" max="13314" width="28.109375" customWidth="1"/>
    <col min="13315" max="13315" width="13.88671875" customWidth="1"/>
    <col min="13316" max="13316" width="14.44140625" customWidth="1"/>
    <col min="13317" max="13317" width="15.44140625" customWidth="1"/>
    <col min="13318" max="13318" width="14.44140625" customWidth="1"/>
    <col min="13319" max="13319" width="16.44140625" customWidth="1"/>
    <col min="13320" max="13320" width="14.44140625" customWidth="1"/>
    <col min="13321" max="13321" width="11.44140625" customWidth="1"/>
    <col min="13322" max="13322" width="12.88671875" customWidth="1"/>
    <col min="13323" max="13324" width="13.44140625" customWidth="1"/>
    <col min="13325" max="13325" width="13.44140625" bestFit="1" customWidth="1"/>
    <col min="13569" max="13569" width="6.109375" customWidth="1"/>
    <col min="13570" max="13570" width="28.109375" customWidth="1"/>
    <col min="13571" max="13571" width="13.88671875" customWidth="1"/>
    <col min="13572" max="13572" width="14.44140625" customWidth="1"/>
    <col min="13573" max="13573" width="15.44140625" customWidth="1"/>
    <col min="13574" max="13574" width="14.44140625" customWidth="1"/>
    <col min="13575" max="13575" width="16.44140625" customWidth="1"/>
    <col min="13576" max="13576" width="14.44140625" customWidth="1"/>
    <col min="13577" max="13577" width="11.44140625" customWidth="1"/>
    <col min="13578" max="13578" width="12.88671875" customWidth="1"/>
    <col min="13579" max="13580" width="13.44140625" customWidth="1"/>
    <col min="13581" max="13581" width="13.44140625" bestFit="1" customWidth="1"/>
    <col min="13825" max="13825" width="6.109375" customWidth="1"/>
    <col min="13826" max="13826" width="28.109375" customWidth="1"/>
    <col min="13827" max="13827" width="13.88671875" customWidth="1"/>
    <col min="13828" max="13828" width="14.44140625" customWidth="1"/>
    <col min="13829" max="13829" width="15.44140625" customWidth="1"/>
    <col min="13830" max="13830" width="14.44140625" customWidth="1"/>
    <col min="13831" max="13831" width="16.44140625" customWidth="1"/>
    <col min="13832" max="13832" width="14.44140625" customWidth="1"/>
    <col min="13833" max="13833" width="11.44140625" customWidth="1"/>
    <col min="13834" max="13834" width="12.88671875" customWidth="1"/>
    <col min="13835" max="13836" width="13.44140625" customWidth="1"/>
    <col min="13837" max="13837" width="13.44140625" bestFit="1" customWidth="1"/>
    <col min="14081" max="14081" width="6.109375" customWidth="1"/>
    <col min="14082" max="14082" width="28.109375" customWidth="1"/>
    <col min="14083" max="14083" width="13.88671875" customWidth="1"/>
    <col min="14084" max="14084" width="14.44140625" customWidth="1"/>
    <col min="14085" max="14085" width="15.44140625" customWidth="1"/>
    <col min="14086" max="14086" width="14.44140625" customWidth="1"/>
    <col min="14087" max="14087" width="16.44140625" customWidth="1"/>
    <col min="14088" max="14088" width="14.44140625" customWidth="1"/>
    <col min="14089" max="14089" width="11.44140625" customWidth="1"/>
    <col min="14090" max="14090" width="12.88671875" customWidth="1"/>
    <col min="14091" max="14092" width="13.44140625" customWidth="1"/>
    <col min="14093" max="14093" width="13.44140625" bestFit="1" customWidth="1"/>
    <col min="14337" max="14337" width="6.109375" customWidth="1"/>
    <col min="14338" max="14338" width="28.109375" customWidth="1"/>
    <col min="14339" max="14339" width="13.88671875" customWidth="1"/>
    <col min="14340" max="14340" width="14.44140625" customWidth="1"/>
    <col min="14341" max="14341" width="15.44140625" customWidth="1"/>
    <col min="14342" max="14342" width="14.44140625" customWidth="1"/>
    <col min="14343" max="14343" width="16.44140625" customWidth="1"/>
    <col min="14344" max="14344" width="14.44140625" customWidth="1"/>
    <col min="14345" max="14345" width="11.44140625" customWidth="1"/>
    <col min="14346" max="14346" width="12.88671875" customWidth="1"/>
    <col min="14347" max="14348" width="13.44140625" customWidth="1"/>
    <col min="14349" max="14349" width="13.44140625" bestFit="1" customWidth="1"/>
    <col min="14593" max="14593" width="6.109375" customWidth="1"/>
    <col min="14594" max="14594" width="28.109375" customWidth="1"/>
    <col min="14595" max="14595" width="13.88671875" customWidth="1"/>
    <col min="14596" max="14596" width="14.44140625" customWidth="1"/>
    <col min="14597" max="14597" width="15.44140625" customWidth="1"/>
    <col min="14598" max="14598" width="14.44140625" customWidth="1"/>
    <col min="14599" max="14599" width="16.44140625" customWidth="1"/>
    <col min="14600" max="14600" width="14.44140625" customWidth="1"/>
    <col min="14601" max="14601" width="11.44140625" customWidth="1"/>
    <col min="14602" max="14602" width="12.88671875" customWidth="1"/>
    <col min="14603" max="14604" width="13.44140625" customWidth="1"/>
    <col min="14605" max="14605" width="13.44140625" bestFit="1" customWidth="1"/>
    <col min="14849" max="14849" width="6.109375" customWidth="1"/>
    <col min="14850" max="14850" width="28.109375" customWidth="1"/>
    <col min="14851" max="14851" width="13.88671875" customWidth="1"/>
    <col min="14852" max="14852" width="14.44140625" customWidth="1"/>
    <col min="14853" max="14853" width="15.44140625" customWidth="1"/>
    <col min="14854" max="14854" width="14.44140625" customWidth="1"/>
    <col min="14855" max="14855" width="16.44140625" customWidth="1"/>
    <col min="14856" max="14856" width="14.44140625" customWidth="1"/>
    <col min="14857" max="14857" width="11.44140625" customWidth="1"/>
    <col min="14858" max="14858" width="12.88671875" customWidth="1"/>
    <col min="14859" max="14860" width="13.44140625" customWidth="1"/>
    <col min="14861" max="14861" width="13.44140625" bestFit="1" customWidth="1"/>
    <col min="15105" max="15105" width="6.109375" customWidth="1"/>
    <col min="15106" max="15106" width="28.109375" customWidth="1"/>
    <col min="15107" max="15107" width="13.88671875" customWidth="1"/>
    <col min="15108" max="15108" width="14.44140625" customWidth="1"/>
    <col min="15109" max="15109" width="15.44140625" customWidth="1"/>
    <col min="15110" max="15110" width="14.44140625" customWidth="1"/>
    <col min="15111" max="15111" width="16.44140625" customWidth="1"/>
    <col min="15112" max="15112" width="14.44140625" customWidth="1"/>
    <col min="15113" max="15113" width="11.44140625" customWidth="1"/>
    <col min="15114" max="15114" width="12.88671875" customWidth="1"/>
    <col min="15115" max="15116" width="13.44140625" customWidth="1"/>
    <col min="15117" max="15117" width="13.44140625" bestFit="1" customWidth="1"/>
    <col min="15361" max="15361" width="6.109375" customWidth="1"/>
    <col min="15362" max="15362" width="28.109375" customWidth="1"/>
    <col min="15363" max="15363" width="13.88671875" customWidth="1"/>
    <col min="15364" max="15364" width="14.44140625" customWidth="1"/>
    <col min="15365" max="15365" width="15.44140625" customWidth="1"/>
    <col min="15366" max="15366" width="14.44140625" customWidth="1"/>
    <col min="15367" max="15367" width="16.44140625" customWidth="1"/>
    <col min="15368" max="15368" width="14.44140625" customWidth="1"/>
    <col min="15369" max="15369" width="11.44140625" customWidth="1"/>
    <col min="15370" max="15370" width="12.88671875" customWidth="1"/>
    <col min="15371" max="15372" width="13.44140625" customWidth="1"/>
    <col min="15373" max="15373" width="13.44140625" bestFit="1" customWidth="1"/>
    <col min="15617" max="15617" width="6.109375" customWidth="1"/>
    <col min="15618" max="15618" width="28.109375" customWidth="1"/>
    <col min="15619" max="15619" width="13.88671875" customWidth="1"/>
    <col min="15620" max="15620" width="14.44140625" customWidth="1"/>
    <col min="15621" max="15621" width="15.44140625" customWidth="1"/>
    <col min="15622" max="15622" width="14.44140625" customWidth="1"/>
    <col min="15623" max="15623" width="16.44140625" customWidth="1"/>
    <col min="15624" max="15624" width="14.44140625" customWidth="1"/>
    <col min="15625" max="15625" width="11.44140625" customWidth="1"/>
    <col min="15626" max="15626" width="12.88671875" customWidth="1"/>
    <col min="15627" max="15628" width="13.44140625" customWidth="1"/>
    <col min="15629" max="15629" width="13.44140625" bestFit="1" customWidth="1"/>
    <col min="15873" max="15873" width="6.109375" customWidth="1"/>
    <col min="15874" max="15874" width="28.109375" customWidth="1"/>
    <col min="15875" max="15875" width="13.88671875" customWidth="1"/>
    <col min="15876" max="15876" width="14.44140625" customWidth="1"/>
    <col min="15877" max="15877" width="15.44140625" customWidth="1"/>
    <col min="15878" max="15878" width="14.44140625" customWidth="1"/>
    <col min="15879" max="15879" width="16.44140625" customWidth="1"/>
    <col min="15880" max="15880" width="14.44140625" customWidth="1"/>
    <col min="15881" max="15881" width="11.44140625" customWidth="1"/>
    <col min="15882" max="15882" width="12.88671875" customWidth="1"/>
    <col min="15883" max="15884" width="13.44140625" customWidth="1"/>
    <col min="15885" max="15885" width="13.44140625" bestFit="1" customWidth="1"/>
    <col min="16129" max="16129" width="6.109375" customWidth="1"/>
    <col min="16130" max="16130" width="28.109375" customWidth="1"/>
    <col min="16131" max="16131" width="13.88671875" customWidth="1"/>
    <col min="16132" max="16132" width="14.44140625" customWidth="1"/>
    <col min="16133" max="16133" width="15.44140625" customWidth="1"/>
    <col min="16134" max="16134" width="14.44140625" customWidth="1"/>
    <col min="16135" max="16135" width="16.44140625" customWidth="1"/>
    <col min="16136" max="16136" width="14.44140625" customWidth="1"/>
    <col min="16137" max="16137" width="11.44140625" customWidth="1"/>
    <col min="16138" max="16138" width="12.88671875" customWidth="1"/>
    <col min="16139" max="16140" width="13.44140625" customWidth="1"/>
    <col min="16141" max="16141" width="13.44140625" bestFit="1" customWidth="1"/>
  </cols>
  <sheetData>
    <row r="1" spans="1:16" ht="18" x14ac:dyDescent="0.35">
      <c r="B1" s="29" t="s">
        <v>461</v>
      </c>
    </row>
    <row r="2" spans="1:16" ht="18" x14ac:dyDescent="0.35">
      <c r="B2" s="299"/>
    </row>
    <row r="3" spans="1:16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1"/>
      <c r="L3" s="31"/>
      <c r="M3" s="30"/>
      <c r="N3" s="32"/>
    </row>
    <row r="4" spans="1:16" s="40" customFormat="1" x14ac:dyDescent="0.3">
      <c r="A4" s="33"/>
      <c r="B4" s="908" t="s">
        <v>236</v>
      </c>
      <c r="C4" s="34" t="s">
        <v>1</v>
      </c>
      <c r="D4" s="35" t="s">
        <v>2</v>
      </c>
      <c r="E4" s="36" t="s">
        <v>3</v>
      </c>
      <c r="F4" s="36" t="s">
        <v>4</v>
      </c>
      <c r="G4" s="36" t="s">
        <v>5</v>
      </c>
      <c r="H4" s="36" t="s">
        <v>6</v>
      </c>
      <c r="I4" s="37" t="s">
        <v>7</v>
      </c>
      <c r="J4" s="37" t="s">
        <v>8</v>
      </c>
      <c r="K4" s="37" t="s">
        <v>9</v>
      </c>
      <c r="L4" s="37" t="s">
        <v>10</v>
      </c>
      <c r="M4" s="38"/>
      <c r="N4" s="39"/>
    </row>
    <row r="5" spans="1:16" ht="91.35" customHeight="1" x14ac:dyDescent="0.3">
      <c r="A5" s="41" t="s">
        <v>189</v>
      </c>
      <c r="B5" s="909"/>
      <c r="C5" s="42" t="s">
        <v>190</v>
      </c>
      <c r="D5" s="36" t="s">
        <v>12</v>
      </c>
      <c r="E5" s="36" t="s">
        <v>13</v>
      </c>
      <c r="F5" s="36" t="s">
        <v>14</v>
      </c>
      <c r="G5" s="36" t="s">
        <v>15</v>
      </c>
      <c r="H5" s="36" t="s">
        <v>191</v>
      </c>
      <c r="I5" s="43" t="s">
        <v>17</v>
      </c>
      <c r="J5" s="43" t="s">
        <v>18</v>
      </c>
      <c r="K5" s="43" t="s">
        <v>19</v>
      </c>
      <c r="L5" s="43" t="s">
        <v>360</v>
      </c>
      <c r="M5" s="36" t="s">
        <v>193</v>
      </c>
      <c r="N5" s="32"/>
    </row>
    <row r="6" spans="1:16" s="40" customFormat="1" ht="28.2" x14ac:dyDescent="0.3">
      <c r="A6" s="44" t="s">
        <v>69</v>
      </c>
      <c r="B6" s="123" t="s">
        <v>462</v>
      </c>
      <c r="C6" s="410">
        <f>I12</f>
        <v>3060000</v>
      </c>
      <c r="D6" s="90">
        <f>E6+F6+G6+H6+I6+J6+K6+L6</f>
        <v>432082</v>
      </c>
      <c r="E6" s="90">
        <v>26386</v>
      </c>
      <c r="F6" s="90">
        <v>46772</v>
      </c>
      <c r="G6" s="90">
        <v>96845</v>
      </c>
      <c r="H6" s="90">
        <v>0</v>
      </c>
      <c r="I6" s="90">
        <v>25475</v>
      </c>
      <c r="J6" s="90">
        <v>4462</v>
      </c>
      <c r="K6" s="90">
        <v>170259</v>
      </c>
      <c r="L6" s="90">
        <v>61883</v>
      </c>
      <c r="M6" s="411">
        <v>61</v>
      </c>
      <c r="N6" s="412"/>
      <c r="O6" s="413"/>
      <c r="P6" s="413"/>
    </row>
    <row r="7" spans="1:16" x14ac:dyDescent="0.3">
      <c r="A7" s="51"/>
      <c r="B7" s="52"/>
      <c r="C7" s="50"/>
      <c r="D7" s="49"/>
      <c r="E7" s="50"/>
      <c r="F7" s="50"/>
      <c r="G7" s="50"/>
      <c r="H7" s="50"/>
      <c r="I7" s="50"/>
      <c r="J7" s="50"/>
      <c r="K7" s="50"/>
      <c r="L7" s="50"/>
      <c r="M7" s="414"/>
      <c r="N7" s="415"/>
      <c r="O7" s="81"/>
      <c r="P7" s="81"/>
    </row>
    <row r="8" spans="1:16" x14ac:dyDescent="0.3">
      <c r="A8" s="30"/>
      <c r="B8" s="30"/>
      <c r="C8" s="30"/>
      <c r="D8" s="30"/>
      <c r="E8" s="30"/>
      <c r="F8" s="30"/>
      <c r="G8" s="30"/>
      <c r="H8" s="30"/>
      <c r="I8" s="30"/>
      <c r="J8" s="30"/>
      <c r="K8" s="31"/>
      <c r="L8" s="31"/>
      <c r="M8" s="81"/>
      <c r="N8" s="415"/>
      <c r="O8" s="81"/>
      <c r="P8" s="81"/>
    </row>
    <row r="9" spans="1:16" x14ac:dyDescent="0.3">
      <c r="A9" s="30"/>
      <c r="B9" s="30"/>
      <c r="C9" s="30"/>
      <c r="D9" s="30"/>
      <c r="E9" s="30"/>
      <c r="F9" s="30"/>
      <c r="G9" s="30"/>
      <c r="H9" s="30"/>
      <c r="I9" s="30"/>
      <c r="J9" s="30"/>
      <c r="K9" s="31"/>
      <c r="L9" s="31"/>
      <c r="M9" s="30"/>
      <c r="N9" s="32"/>
    </row>
    <row r="10" spans="1:16" x14ac:dyDescent="0.3">
      <c r="A10" s="30"/>
      <c r="B10" s="95" t="s">
        <v>197</v>
      </c>
      <c r="C10" s="30"/>
      <c r="D10" s="30"/>
      <c r="E10" s="30"/>
      <c r="F10" s="30"/>
      <c r="G10" s="30"/>
      <c r="H10" s="30"/>
      <c r="I10" s="30"/>
      <c r="J10" s="95"/>
      <c r="K10" s="30"/>
      <c r="L10" s="30"/>
      <c r="M10" s="30"/>
    </row>
    <row r="11" spans="1:16" s="40" customFormat="1" ht="57.6" x14ac:dyDescent="0.3">
      <c r="A11" s="17" t="s">
        <v>189</v>
      </c>
      <c r="B11" s="23" t="s">
        <v>361</v>
      </c>
      <c r="C11" s="23" t="s">
        <v>199</v>
      </c>
      <c r="D11" s="23" t="s">
        <v>200</v>
      </c>
      <c r="E11" s="23" t="s">
        <v>201</v>
      </c>
      <c r="F11" s="23" t="s">
        <v>202</v>
      </c>
      <c r="G11" s="23" t="s">
        <v>53</v>
      </c>
      <c r="H11" s="23" t="s">
        <v>203</v>
      </c>
      <c r="I11" s="23" t="s">
        <v>204</v>
      </c>
      <c r="K11" s="89"/>
      <c r="L11" s="96"/>
      <c r="M11" s="96"/>
    </row>
    <row r="12" spans="1:16" s="24" customFormat="1" ht="28.8" x14ac:dyDescent="0.3">
      <c r="A12" s="17" t="s">
        <v>69</v>
      </c>
      <c r="B12" s="23" t="s">
        <v>463</v>
      </c>
      <c r="C12" s="23">
        <v>1978</v>
      </c>
      <c r="D12" s="23" t="s">
        <v>453</v>
      </c>
      <c r="E12" s="78" t="s">
        <v>453</v>
      </c>
      <c r="F12" s="78" t="s">
        <v>464</v>
      </c>
      <c r="G12" s="300">
        <v>2550</v>
      </c>
      <c r="H12" s="97">
        <v>2</v>
      </c>
      <c r="I12" s="300">
        <f>G12*1200</f>
        <v>3060000</v>
      </c>
      <c r="J12"/>
      <c r="K12" s="99"/>
    </row>
    <row r="13" spans="1:16" s="1" customFormat="1" x14ac:dyDescent="0.3">
      <c r="A13"/>
      <c r="B13" s="56"/>
      <c r="C13"/>
      <c r="D13" s="56"/>
      <c r="E13"/>
      <c r="F13"/>
      <c r="G13"/>
      <c r="H13"/>
      <c r="I13"/>
      <c r="J13"/>
    </row>
    <row r="14" spans="1:16" ht="38.1" customHeight="1" thickBot="1" x14ac:dyDescent="0.35">
      <c r="A14" s="320" t="s">
        <v>607</v>
      </c>
      <c r="B14" s="56"/>
      <c r="D14" s="56"/>
      <c r="K14" s="1"/>
      <c r="L14" s="1"/>
      <c r="M14" s="1"/>
      <c r="N14" s="57"/>
    </row>
    <row r="15" spans="1:16" ht="15" thickBot="1" x14ac:dyDescent="0.35">
      <c r="A15" s="872" t="s">
        <v>37</v>
      </c>
      <c r="B15" s="873"/>
      <c r="C15" s="873"/>
      <c r="D15" s="873"/>
      <c r="E15" s="873"/>
      <c r="F15" s="873"/>
      <c r="G15" s="873"/>
      <c r="H15" s="873"/>
      <c r="I15" s="874"/>
      <c r="J15" s="2"/>
      <c r="K15" s="3" t="s">
        <v>38</v>
      </c>
      <c r="L15" s="4"/>
      <c r="M15" s="5"/>
    </row>
    <row r="16" spans="1:16" ht="69.599999999999994" thickBot="1" x14ac:dyDescent="0.35">
      <c r="A16" s="100"/>
      <c r="B16" s="101" t="s">
        <v>40</v>
      </c>
      <c r="C16" s="899" t="s">
        <v>41</v>
      </c>
      <c r="D16" s="900"/>
      <c r="E16" s="901" t="s">
        <v>42</v>
      </c>
      <c r="F16" s="902"/>
      <c r="G16" s="899" t="s">
        <v>43</v>
      </c>
      <c r="H16" s="900"/>
      <c r="I16" s="7" t="s">
        <v>426</v>
      </c>
      <c r="J16" s="7" t="s">
        <v>208</v>
      </c>
      <c r="K16" s="8" t="s">
        <v>45</v>
      </c>
      <c r="L16" s="7" t="s">
        <v>46</v>
      </c>
      <c r="M16" s="6" t="s">
        <v>39</v>
      </c>
    </row>
    <row r="17" spans="1:13" x14ac:dyDescent="0.3">
      <c r="A17" s="9"/>
      <c r="B17" s="10"/>
      <c r="C17" s="11" t="s">
        <v>48</v>
      </c>
      <c r="D17" s="12" t="s">
        <v>49</v>
      </c>
      <c r="E17" s="13" t="s">
        <v>48</v>
      </c>
      <c r="F17" s="13" t="s">
        <v>49</v>
      </c>
      <c r="G17" s="12" t="s">
        <v>48</v>
      </c>
      <c r="H17" s="12" t="s">
        <v>49</v>
      </c>
      <c r="I17" s="14"/>
      <c r="J17" s="103"/>
      <c r="K17" s="12"/>
      <c r="L17" s="12"/>
      <c r="M17" s="15"/>
    </row>
    <row r="18" spans="1:13" x14ac:dyDescent="0.3">
      <c r="A18" s="105"/>
      <c r="B18" s="106" t="s">
        <v>465</v>
      </c>
      <c r="C18" s="70">
        <v>30000</v>
      </c>
      <c r="D18" s="70">
        <v>3000</v>
      </c>
      <c r="E18" s="16">
        <v>6000</v>
      </c>
      <c r="F18" s="16">
        <v>3000</v>
      </c>
      <c r="G18" s="16">
        <v>30000</v>
      </c>
      <c r="H18" s="16">
        <v>10000</v>
      </c>
      <c r="I18" s="16">
        <v>2000</v>
      </c>
      <c r="J18" s="16">
        <v>3000</v>
      </c>
      <c r="K18" s="16">
        <v>500</v>
      </c>
      <c r="L18" s="16">
        <v>0</v>
      </c>
      <c r="M18" s="16">
        <v>3000</v>
      </c>
    </row>
  </sheetData>
  <mergeCells count="5">
    <mergeCell ref="B4:B5"/>
    <mergeCell ref="A15:I15"/>
    <mergeCell ref="C16:D16"/>
    <mergeCell ref="E16:F16"/>
    <mergeCell ref="G16:H16"/>
  </mergeCells>
  <pageMargins left="0.25" right="0.22" top="0.74803149606299213" bottom="0.74803149606299213" header="0.31496062992125984" footer="0.31496062992125984"/>
  <pageSetup paperSize="9" scale="75" orientation="landscape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FEEDF-C1A3-4FE9-A6E5-7CAA156A5D32}">
  <dimension ref="A1:S6"/>
  <sheetViews>
    <sheetView workbookViewId="0">
      <selection activeCell="H19" sqref="H19"/>
    </sheetView>
  </sheetViews>
  <sheetFormatPr defaultColWidth="8.88671875" defaultRowHeight="14.4" x14ac:dyDescent="0.3"/>
  <cols>
    <col min="2" max="2" width="12.88671875" customWidth="1"/>
    <col min="3" max="3" width="13" customWidth="1"/>
    <col min="4" max="4" width="19.44140625" customWidth="1"/>
    <col min="5" max="5" width="18" customWidth="1"/>
    <col min="6" max="6" width="4.44140625" customWidth="1"/>
    <col min="7" max="7" width="6" customWidth="1"/>
    <col min="8" max="8" width="6.33203125" customWidth="1"/>
    <col min="11" max="11" width="7.109375" customWidth="1"/>
    <col min="12" max="12" width="4.109375" customWidth="1"/>
    <col min="13" max="13" width="4.44140625" customWidth="1"/>
    <col min="14" max="14" width="5.109375" customWidth="1"/>
    <col min="16" max="16" width="14.44140625" customWidth="1"/>
  </cols>
  <sheetData>
    <row r="1" spans="1:19" x14ac:dyDescent="0.3">
      <c r="A1" s="21" t="s">
        <v>466</v>
      </c>
    </row>
    <row r="5" spans="1:19" ht="43.2" x14ac:dyDescent="0.3">
      <c r="A5" s="17" t="s">
        <v>137</v>
      </c>
      <c r="B5" s="23" t="s">
        <v>138</v>
      </c>
      <c r="C5" s="23" t="s">
        <v>139</v>
      </c>
      <c r="D5" s="23" t="s">
        <v>140</v>
      </c>
      <c r="E5" s="23" t="s">
        <v>141</v>
      </c>
      <c r="F5" s="23" t="s">
        <v>142</v>
      </c>
      <c r="G5" s="23" t="s">
        <v>143</v>
      </c>
      <c r="H5" s="23" t="s">
        <v>144</v>
      </c>
      <c r="I5" s="23" t="s">
        <v>145</v>
      </c>
      <c r="J5" s="23" t="s">
        <v>146</v>
      </c>
      <c r="K5" s="23" t="s">
        <v>147</v>
      </c>
      <c r="L5" s="23" t="s">
        <v>148</v>
      </c>
      <c r="M5" s="23" t="s">
        <v>149</v>
      </c>
      <c r="N5" s="23" t="s">
        <v>150</v>
      </c>
      <c r="O5" s="23" t="s">
        <v>151</v>
      </c>
      <c r="P5" s="23" t="s">
        <v>152</v>
      </c>
      <c r="Q5" s="23" t="s">
        <v>153</v>
      </c>
      <c r="R5" s="23" t="s">
        <v>154</v>
      </c>
      <c r="S5" s="23" t="s">
        <v>221</v>
      </c>
    </row>
    <row r="6" spans="1:19" ht="72" x14ac:dyDescent="0.3">
      <c r="A6" s="17">
        <v>1</v>
      </c>
      <c r="B6" s="17" t="s">
        <v>467</v>
      </c>
      <c r="C6" s="17" t="s">
        <v>156</v>
      </c>
      <c r="D6" s="17" t="s">
        <v>468</v>
      </c>
      <c r="E6" s="23" t="s">
        <v>469</v>
      </c>
      <c r="F6" s="17">
        <v>96</v>
      </c>
      <c r="G6" s="17"/>
      <c r="H6" s="17">
        <v>9</v>
      </c>
      <c r="I6" s="17"/>
      <c r="J6" s="18">
        <v>26386</v>
      </c>
      <c r="K6" s="17">
        <v>2014</v>
      </c>
      <c r="L6" s="17" t="s">
        <v>159</v>
      </c>
      <c r="M6" s="17" t="s">
        <v>159</v>
      </c>
      <c r="N6" s="17" t="s">
        <v>159</v>
      </c>
      <c r="O6" s="80">
        <v>0</v>
      </c>
      <c r="P6" s="23" t="s">
        <v>470</v>
      </c>
      <c r="Q6" s="17" t="s">
        <v>159</v>
      </c>
      <c r="R6" s="17" t="s">
        <v>159</v>
      </c>
      <c r="S6" s="17" t="s">
        <v>160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255C3-DCE2-438A-936A-020EB1336DAA}">
  <sheetPr>
    <pageSetUpPr fitToPage="1"/>
  </sheetPr>
  <dimension ref="A2:AC35"/>
  <sheetViews>
    <sheetView topLeftCell="A22" zoomScale="85" zoomScaleNormal="85" workbookViewId="0">
      <selection activeCell="B29" sqref="B29"/>
    </sheetView>
  </sheetViews>
  <sheetFormatPr defaultRowHeight="14.4" x14ac:dyDescent="0.3"/>
  <cols>
    <col min="1" max="1" width="6.109375" style="40" customWidth="1"/>
    <col min="2" max="2" width="28.109375" customWidth="1"/>
    <col min="3" max="3" width="13.88671875" customWidth="1"/>
    <col min="4" max="4" width="15.5546875" customWidth="1"/>
    <col min="5" max="5" width="14.5546875" customWidth="1"/>
    <col min="6" max="6" width="16.5546875" customWidth="1"/>
    <col min="7" max="7" width="14.5546875" customWidth="1"/>
    <col min="8" max="8" width="13.44140625" customWidth="1"/>
    <col min="9" max="9" width="14.6640625" bestFit="1" customWidth="1"/>
    <col min="10" max="10" width="12.88671875" customWidth="1"/>
    <col min="11" max="12" width="13.5546875" customWidth="1"/>
    <col min="13" max="13" width="13.44140625" bestFit="1" customWidth="1"/>
    <col min="19" max="19" width="10.6640625" customWidth="1"/>
    <col min="20" max="20" width="9.88671875" bestFit="1" customWidth="1"/>
    <col min="23" max="23" width="10" customWidth="1"/>
    <col min="27" max="27" width="9.5546875" bestFit="1" customWidth="1"/>
    <col min="257" max="257" width="6.109375" customWidth="1"/>
    <col min="258" max="258" width="28.109375" customWidth="1"/>
    <col min="259" max="259" width="13.88671875" customWidth="1"/>
    <col min="260" max="260" width="14.5546875" customWidth="1"/>
    <col min="261" max="261" width="15.5546875" customWidth="1"/>
    <col min="262" max="262" width="14.5546875" customWidth="1"/>
    <col min="263" max="263" width="16.5546875" customWidth="1"/>
    <col min="264" max="264" width="14.5546875" customWidth="1"/>
    <col min="265" max="265" width="11.5546875" customWidth="1"/>
    <col min="266" max="266" width="12.88671875" customWidth="1"/>
    <col min="267" max="268" width="13.5546875" customWidth="1"/>
    <col min="269" max="269" width="13.44140625" bestFit="1" customWidth="1"/>
    <col min="513" max="513" width="6.109375" customWidth="1"/>
    <col min="514" max="514" width="28.109375" customWidth="1"/>
    <col min="515" max="515" width="13.88671875" customWidth="1"/>
    <col min="516" max="516" width="14.5546875" customWidth="1"/>
    <col min="517" max="517" width="15.5546875" customWidth="1"/>
    <col min="518" max="518" width="14.5546875" customWidth="1"/>
    <col min="519" max="519" width="16.5546875" customWidth="1"/>
    <col min="520" max="520" width="14.5546875" customWidth="1"/>
    <col min="521" max="521" width="11.5546875" customWidth="1"/>
    <col min="522" max="522" width="12.88671875" customWidth="1"/>
    <col min="523" max="524" width="13.5546875" customWidth="1"/>
    <col min="525" max="525" width="13.44140625" bestFit="1" customWidth="1"/>
    <col min="769" max="769" width="6.109375" customWidth="1"/>
    <col min="770" max="770" width="28.109375" customWidth="1"/>
    <col min="771" max="771" width="13.88671875" customWidth="1"/>
    <col min="772" max="772" width="14.5546875" customWidth="1"/>
    <col min="773" max="773" width="15.5546875" customWidth="1"/>
    <col min="774" max="774" width="14.5546875" customWidth="1"/>
    <col min="775" max="775" width="16.5546875" customWidth="1"/>
    <col min="776" max="776" width="14.5546875" customWidth="1"/>
    <col min="777" max="777" width="11.5546875" customWidth="1"/>
    <col min="778" max="778" width="12.88671875" customWidth="1"/>
    <col min="779" max="780" width="13.5546875" customWidth="1"/>
    <col min="781" max="781" width="13.44140625" bestFit="1" customWidth="1"/>
    <col min="1025" max="1025" width="6.109375" customWidth="1"/>
    <col min="1026" max="1026" width="28.109375" customWidth="1"/>
    <col min="1027" max="1027" width="13.88671875" customWidth="1"/>
    <col min="1028" max="1028" width="14.5546875" customWidth="1"/>
    <col min="1029" max="1029" width="15.5546875" customWidth="1"/>
    <col min="1030" max="1030" width="14.5546875" customWidth="1"/>
    <col min="1031" max="1031" width="16.5546875" customWidth="1"/>
    <col min="1032" max="1032" width="14.5546875" customWidth="1"/>
    <col min="1033" max="1033" width="11.5546875" customWidth="1"/>
    <col min="1034" max="1034" width="12.88671875" customWidth="1"/>
    <col min="1035" max="1036" width="13.5546875" customWidth="1"/>
    <col min="1037" max="1037" width="13.44140625" bestFit="1" customWidth="1"/>
    <col min="1281" max="1281" width="6.109375" customWidth="1"/>
    <col min="1282" max="1282" width="28.109375" customWidth="1"/>
    <col min="1283" max="1283" width="13.88671875" customWidth="1"/>
    <col min="1284" max="1284" width="14.5546875" customWidth="1"/>
    <col min="1285" max="1285" width="15.5546875" customWidth="1"/>
    <col min="1286" max="1286" width="14.5546875" customWidth="1"/>
    <col min="1287" max="1287" width="16.5546875" customWidth="1"/>
    <col min="1288" max="1288" width="14.5546875" customWidth="1"/>
    <col min="1289" max="1289" width="11.5546875" customWidth="1"/>
    <col min="1290" max="1290" width="12.88671875" customWidth="1"/>
    <col min="1291" max="1292" width="13.5546875" customWidth="1"/>
    <col min="1293" max="1293" width="13.44140625" bestFit="1" customWidth="1"/>
    <col min="1537" max="1537" width="6.109375" customWidth="1"/>
    <col min="1538" max="1538" width="28.109375" customWidth="1"/>
    <col min="1539" max="1539" width="13.88671875" customWidth="1"/>
    <col min="1540" max="1540" width="14.5546875" customWidth="1"/>
    <col min="1541" max="1541" width="15.5546875" customWidth="1"/>
    <col min="1542" max="1542" width="14.5546875" customWidth="1"/>
    <col min="1543" max="1543" width="16.5546875" customWidth="1"/>
    <col min="1544" max="1544" width="14.5546875" customWidth="1"/>
    <col min="1545" max="1545" width="11.5546875" customWidth="1"/>
    <col min="1546" max="1546" width="12.88671875" customWidth="1"/>
    <col min="1547" max="1548" width="13.5546875" customWidth="1"/>
    <col min="1549" max="1549" width="13.44140625" bestFit="1" customWidth="1"/>
    <col min="1793" max="1793" width="6.109375" customWidth="1"/>
    <col min="1794" max="1794" width="28.109375" customWidth="1"/>
    <col min="1795" max="1795" width="13.88671875" customWidth="1"/>
    <col min="1796" max="1796" width="14.5546875" customWidth="1"/>
    <col min="1797" max="1797" width="15.5546875" customWidth="1"/>
    <col min="1798" max="1798" width="14.5546875" customWidth="1"/>
    <col min="1799" max="1799" width="16.5546875" customWidth="1"/>
    <col min="1800" max="1800" width="14.5546875" customWidth="1"/>
    <col min="1801" max="1801" width="11.5546875" customWidth="1"/>
    <col min="1802" max="1802" width="12.88671875" customWidth="1"/>
    <col min="1803" max="1804" width="13.5546875" customWidth="1"/>
    <col min="1805" max="1805" width="13.44140625" bestFit="1" customWidth="1"/>
    <col min="2049" max="2049" width="6.109375" customWidth="1"/>
    <col min="2050" max="2050" width="28.109375" customWidth="1"/>
    <col min="2051" max="2051" width="13.88671875" customWidth="1"/>
    <col min="2052" max="2052" width="14.5546875" customWidth="1"/>
    <col min="2053" max="2053" width="15.5546875" customWidth="1"/>
    <col min="2054" max="2054" width="14.5546875" customWidth="1"/>
    <col min="2055" max="2055" width="16.5546875" customWidth="1"/>
    <col min="2056" max="2056" width="14.5546875" customWidth="1"/>
    <col min="2057" max="2057" width="11.5546875" customWidth="1"/>
    <col min="2058" max="2058" width="12.88671875" customWidth="1"/>
    <col min="2059" max="2060" width="13.5546875" customWidth="1"/>
    <col min="2061" max="2061" width="13.44140625" bestFit="1" customWidth="1"/>
    <col min="2305" max="2305" width="6.109375" customWidth="1"/>
    <col min="2306" max="2306" width="28.109375" customWidth="1"/>
    <col min="2307" max="2307" width="13.88671875" customWidth="1"/>
    <col min="2308" max="2308" width="14.5546875" customWidth="1"/>
    <col min="2309" max="2309" width="15.5546875" customWidth="1"/>
    <col min="2310" max="2310" width="14.5546875" customWidth="1"/>
    <col min="2311" max="2311" width="16.5546875" customWidth="1"/>
    <col min="2312" max="2312" width="14.5546875" customWidth="1"/>
    <col min="2313" max="2313" width="11.5546875" customWidth="1"/>
    <col min="2314" max="2314" width="12.88671875" customWidth="1"/>
    <col min="2315" max="2316" width="13.5546875" customWidth="1"/>
    <col min="2317" max="2317" width="13.44140625" bestFit="1" customWidth="1"/>
    <col min="2561" max="2561" width="6.109375" customWidth="1"/>
    <col min="2562" max="2562" width="28.109375" customWidth="1"/>
    <col min="2563" max="2563" width="13.88671875" customWidth="1"/>
    <col min="2564" max="2564" width="14.5546875" customWidth="1"/>
    <col min="2565" max="2565" width="15.5546875" customWidth="1"/>
    <col min="2566" max="2566" width="14.5546875" customWidth="1"/>
    <col min="2567" max="2567" width="16.5546875" customWidth="1"/>
    <col min="2568" max="2568" width="14.5546875" customWidth="1"/>
    <col min="2569" max="2569" width="11.5546875" customWidth="1"/>
    <col min="2570" max="2570" width="12.88671875" customWidth="1"/>
    <col min="2571" max="2572" width="13.5546875" customWidth="1"/>
    <col min="2573" max="2573" width="13.44140625" bestFit="1" customWidth="1"/>
    <col min="2817" max="2817" width="6.109375" customWidth="1"/>
    <col min="2818" max="2818" width="28.109375" customWidth="1"/>
    <col min="2819" max="2819" width="13.88671875" customWidth="1"/>
    <col min="2820" max="2820" width="14.5546875" customWidth="1"/>
    <col min="2821" max="2821" width="15.5546875" customWidth="1"/>
    <col min="2822" max="2822" width="14.5546875" customWidth="1"/>
    <col min="2823" max="2823" width="16.5546875" customWidth="1"/>
    <col min="2824" max="2824" width="14.5546875" customWidth="1"/>
    <col min="2825" max="2825" width="11.5546875" customWidth="1"/>
    <col min="2826" max="2826" width="12.88671875" customWidth="1"/>
    <col min="2827" max="2828" width="13.5546875" customWidth="1"/>
    <col min="2829" max="2829" width="13.44140625" bestFit="1" customWidth="1"/>
    <col min="3073" max="3073" width="6.109375" customWidth="1"/>
    <col min="3074" max="3074" width="28.109375" customWidth="1"/>
    <col min="3075" max="3075" width="13.88671875" customWidth="1"/>
    <col min="3076" max="3076" width="14.5546875" customWidth="1"/>
    <col min="3077" max="3077" width="15.5546875" customWidth="1"/>
    <col min="3078" max="3078" width="14.5546875" customWidth="1"/>
    <col min="3079" max="3079" width="16.5546875" customWidth="1"/>
    <col min="3080" max="3080" width="14.5546875" customWidth="1"/>
    <col min="3081" max="3081" width="11.5546875" customWidth="1"/>
    <col min="3082" max="3082" width="12.88671875" customWidth="1"/>
    <col min="3083" max="3084" width="13.5546875" customWidth="1"/>
    <col min="3085" max="3085" width="13.44140625" bestFit="1" customWidth="1"/>
    <col min="3329" max="3329" width="6.109375" customWidth="1"/>
    <col min="3330" max="3330" width="28.109375" customWidth="1"/>
    <col min="3331" max="3331" width="13.88671875" customWidth="1"/>
    <col min="3332" max="3332" width="14.5546875" customWidth="1"/>
    <col min="3333" max="3333" width="15.5546875" customWidth="1"/>
    <col min="3334" max="3334" width="14.5546875" customWidth="1"/>
    <col min="3335" max="3335" width="16.5546875" customWidth="1"/>
    <col min="3336" max="3336" width="14.5546875" customWidth="1"/>
    <col min="3337" max="3337" width="11.5546875" customWidth="1"/>
    <col min="3338" max="3338" width="12.88671875" customWidth="1"/>
    <col min="3339" max="3340" width="13.5546875" customWidth="1"/>
    <col min="3341" max="3341" width="13.44140625" bestFit="1" customWidth="1"/>
    <col min="3585" max="3585" width="6.109375" customWidth="1"/>
    <col min="3586" max="3586" width="28.109375" customWidth="1"/>
    <col min="3587" max="3587" width="13.88671875" customWidth="1"/>
    <col min="3588" max="3588" width="14.5546875" customWidth="1"/>
    <col min="3589" max="3589" width="15.5546875" customWidth="1"/>
    <col min="3590" max="3590" width="14.5546875" customWidth="1"/>
    <col min="3591" max="3591" width="16.5546875" customWidth="1"/>
    <col min="3592" max="3592" width="14.5546875" customWidth="1"/>
    <col min="3593" max="3593" width="11.5546875" customWidth="1"/>
    <col min="3594" max="3594" width="12.88671875" customWidth="1"/>
    <col min="3595" max="3596" width="13.5546875" customWidth="1"/>
    <col min="3597" max="3597" width="13.44140625" bestFit="1" customWidth="1"/>
    <col min="3841" max="3841" width="6.109375" customWidth="1"/>
    <col min="3842" max="3842" width="28.109375" customWidth="1"/>
    <col min="3843" max="3843" width="13.88671875" customWidth="1"/>
    <col min="3844" max="3844" width="14.5546875" customWidth="1"/>
    <col min="3845" max="3845" width="15.5546875" customWidth="1"/>
    <col min="3846" max="3846" width="14.5546875" customWidth="1"/>
    <col min="3847" max="3847" width="16.5546875" customWidth="1"/>
    <col min="3848" max="3848" width="14.5546875" customWidth="1"/>
    <col min="3849" max="3849" width="11.5546875" customWidth="1"/>
    <col min="3850" max="3850" width="12.88671875" customWidth="1"/>
    <col min="3851" max="3852" width="13.5546875" customWidth="1"/>
    <col min="3853" max="3853" width="13.44140625" bestFit="1" customWidth="1"/>
    <col min="4097" max="4097" width="6.109375" customWidth="1"/>
    <col min="4098" max="4098" width="28.109375" customWidth="1"/>
    <col min="4099" max="4099" width="13.88671875" customWidth="1"/>
    <col min="4100" max="4100" width="14.5546875" customWidth="1"/>
    <col min="4101" max="4101" width="15.5546875" customWidth="1"/>
    <col min="4102" max="4102" width="14.5546875" customWidth="1"/>
    <col min="4103" max="4103" width="16.5546875" customWidth="1"/>
    <col min="4104" max="4104" width="14.5546875" customWidth="1"/>
    <col min="4105" max="4105" width="11.5546875" customWidth="1"/>
    <col min="4106" max="4106" width="12.88671875" customWidth="1"/>
    <col min="4107" max="4108" width="13.5546875" customWidth="1"/>
    <col min="4109" max="4109" width="13.44140625" bestFit="1" customWidth="1"/>
    <col min="4353" max="4353" width="6.109375" customWidth="1"/>
    <col min="4354" max="4354" width="28.109375" customWidth="1"/>
    <col min="4355" max="4355" width="13.88671875" customWidth="1"/>
    <col min="4356" max="4356" width="14.5546875" customWidth="1"/>
    <col min="4357" max="4357" width="15.5546875" customWidth="1"/>
    <col min="4358" max="4358" width="14.5546875" customWidth="1"/>
    <col min="4359" max="4359" width="16.5546875" customWidth="1"/>
    <col min="4360" max="4360" width="14.5546875" customWidth="1"/>
    <col min="4361" max="4361" width="11.5546875" customWidth="1"/>
    <col min="4362" max="4362" width="12.88671875" customWidth="1"/>
    <col min="4363" max="4364" width="13.5546875" customWidth="1"/>
    <col min="4365" max="4365" width="13.44140625" bestFit="1" customWidth="1"/>
    <col min="4609" max="4609" width="6.109375" customWidth="1"/>
    <col min="4610" max="4610" width="28.109375" customWidth="1"/>
    <col min="4611" max="4611" width="13.88671875" customWidth="1"/>
    <col min="4612" max="4612" width="14.5546875" customWidth="1"/>
    <col min="4613" max="4613" width="15.5546875" customWidth="1"/>
    <col min="4614" max="4614" width="14.5546875" customWidth="1"/>
    <col min="4615" max="4615" width="16.5546875" customWidth="1"/>
    <col min="4616" max="4616" width="14.5546875" customWidth="1"/>
    <col min="4617" max="4617" width="11.5546875" customWidth="1"/>
    <col min="4618" max="4618" width="12.88671875" customWidth="1"/>
    <col min="4619" max="4620" width="13.5546875" customWidth="1"/>
    <col min="4621" max="4621" width="13.44140625" bestFit="1" customWidth="1"/>
    <col min="4865" max="4865" width="6.109375" customWidth="1"/>
    <col min="4866" max="4866" width="28.109375" customWidth="1"/>
    <col min="4867" max="4867" width="13.88671875" customWidth="1"/>
    <col min="4868" max="4868" width="14.5546875" customWidth="1"/>
    <col min="4869" max="4869" width="15.5546875" customWidth="1"/>
    <col min="4870" max="4870" width="14.5546875" customWidth="1"/>
    <col min="4871" max="4871" width="16.5546875" customWidth="1"/>
    <col min="4872" max="4872" width="14.5546875" customWidth="1"/>
    <col min="4873" max="4873" width="11.5546875" customWidth="1"/>
    <col min="4874" max="4874" width="12.88671875" customWidth="1"/>
    <col min="4875" max="4876" width="13.5546875" customWidth="1"/>
    <col min="4877" max="4877" width="13.44140625" bestFit="1" customWidth="1"/>
    <col min="5121" max="5121" width="6.109375" customWidth="1"/>
    <col min="5122" max="5122" width="28.109375" customWidth="1"/>
    <col min="5123" max="5123" width="13.88671875" customWidth="1"/>
    <col min="5124" max="5124" width="14.5546875" customWidth="1"/>
    <col min="5125" max="5125" width="15.5546875" customWidth="1"/>
    <col min="5126" max="5126" width="14.5546875" customWidth="1"/>
    <col min="5127" max="5127" width="16.5546875" customWidth="1"/>
    <col min="5128" max="5128" width="14.5546875" customWidth="1"/>
    <col min="5129" max="5129" width="11.5546875" customWidth="1"/>
    <col min="5130" max="5130" width="12.88671875" customWidth="1"/>
    <col min="5131" max="5132" width="13.5546875" customWidth="1"/>
    <col min="5133" max="5133" width="13.44140625" bestFit="1" customWidth="1"/>
    <col min="5377" max="5377" width="6.109375" customWidth="1"/>
    <col min="5378" max="5378" width="28.109375" customWidth="1"/>
    <col min="5379" max="5379" width="13.88671875" customWidth="1"/>
    <col min="5380" max="5380" width="14.5546875" customWidth="1"/>
    <col min="5381" max="5381" width="15.5546875" customWidth="1"/>
    <col min="5382" max="5382" width="14.5546875" customWidth="1"/>
    <col min="5383" max="5383" width="16.5546875" customWidth="1"/>
    <col min="5384" max="5384" width="14.5546875" customWidth="1"/>
    <col min="5385" max="5385" width="11.5546875" customWidth="1"/>
    <col min="5386" max="5386" width="12.88671875" customWidth="1"/>
    <col min="5387" max="5388" width="13.5546875" customWidth="1"/>
    <col min="5389" max="5389" width="13.44140625" bestFit="1" customWidth="1"/>
    <col min="5633" max="5633" width="6.109375" customWidth="1"/>
    <col min="5634" max="5634" width="28.109375" customWidth="1"/>
    <col min="5635" max="5635" width="13.88671875" customWidth="1"/>
    <col min="5636" max="5636" width="14.5546875" customWidth="1"/>
    <col min="5637" max="5637" width="15.5546875" customWidth="1"/>
    <col min="5638" max="5638" width="14.5546875" customWidth="1"/>
    <col min="5639" max="5639" width="16.5546875" customWidth="1"/>
    <col min="5640" max="5640" width="14.5546875" customWidth="1"/>
    <col min="5641" max="5641" width="11.5546875" customWidth="1"/>
    <col min="5642" max="5642" width="12.88671875" customWidth="1"/>
    <col min="5643" max="5644" width="13.5546875" customWidth="1"/>
    <col min="5645" max="5645" width="13.44140625" bestFit="1" customWidth="1"/>
    <col min="5889" max="5889" width="6.109375" customWidth="1"/>
    <col min="5890" max="5890" width="28.109375" customWidth="1"/>
    <col min="5891" max="5891" width="13.88671875" customWidth="1"/>
    <col min="5892" max="5892" width="14.5546875" customWidth="1"/>
    <col min="5893" max="5893" width="15.5546875" customWidth="1"/>
    <col min="5894" max="5894" width="14.5546875" customWidth="1"/>
    <col min="5895" max="5895" width="16.5546875" customWidth="1"/>
    <col min="5896" max="5896" width="14.5546875" customWidth="1"/>
    <col min="5897" max="5897" width="11.5546875" customWidth="1"/>
    <col min="5898" max="5898" width="12.88671875" customWidth="1"/>
    <col min="5899" max="5900" width="13.5546875" customWidth="1"/>
    <col min="5901" max="5901" width="13.44140625" bestFit="1" customWidth="1"/>
    <col min="6145" max="6145" width="6.109375" customWidth="1"/>
    <col min="6146" max="6146" width="28.109375" customWidth="1"/>
    <col min="6147" max="6147" width="13.88671875" customWidth="1"/>
    <col min="6148" max="6148" width="14.5546875" customWidth="1"/>
    <col min="6149" max="6149" width="15.5546875" customWidth="1"/>
    <col min="6150" max="6150" width="14.5546875" customWidth="1"/>
    <col min="6151" max="6151" width="16.5546875" customWidth="1"/>
    <col min="6152" max="6152" width="14.5546875" customWidth="1"/>
    <col min="6153" max="6153" width="11.5546875" customWidth="1"/>
    <col min="6154" max="6154" width="12.88671875" customWidth="1"/>
    <col min="6155" max="6156" width="13.5546875" customWidth="1"/>
    <col min="6157" max="6157" width="13.44140625" bestFit="1" customWidth="1"/>
    <col min="6401" max="6401" width="6.109375" customWidth="1"/>
    <col min="6402" max="6402" width="28.109375" customWidth="1"/>
    <col min="6403" max="6403" width="13.88671875" customWidth="1"/>
    <col min="6404" max="6404" width="14.5546875" customWidth="1"/>
    <col min="6405" max="6405" width="15.5546875" customWidth="1"/>
    <col min="6406" max="6406" width="14.5546875" customWidth="1"/>
    <col min="6407" max="6407" width="16.5546875" customWidth="1"/>
    <col min="6408" max="6408" width="14.5546875" customWidth="1"/>
    <col min="6409" max="6409" width="11.5546875" customWidth="1"/>
    <col min="6410" max="6410" width="12.88671875" customWidth="1"/>
    <col min="6411" max="6412" width="13.5546875" customWidth="1"/>
    <col min="6413" max="6413" width="13.44140625" bestFit="1" customWidth="1"/>
    <col min="6657" max="6657" width="6.109375" customWidth="1"/>
    <col min="6658" max="6658" width="28.109375" customWidth="1"/>
    <col min="6659" max="6659" width="13.88671875" customWidth="1"/>
    <col min="6660" max="6660" width="14.5546875" customWidth="1"/>
    <col min="6661" max="6661" width="15.5546875" customWidth="1"/>
    <col min="6662" max="6662" width="14.5546875" customWidth="1"/>
    <col min="6663" max="6663" width="16.5546875" customWidth="1"/>
    <col min="6664" max="6664" width="14.5546875" customWidth="1"/>
    <col min="6665" max="6665" width="11.5546875" customWidth="1"/>
    <col min="6666" max="6666" width="12.88671875" customWidth="1"/>
    <col min="6667" max="6668" width="13.5546875" customWidth="1"/>
    <col min="6669" max="6669" width="13.44140625" bestFit="1" customWidth="1"/>
    <col min="6913" max="6913" width="6.109375" customWidth="1"/>
    <col min="6914" max="6914" width="28.109375" customWidth="1"/>
    <col min="6915" max="6915" width="13.88671875" customWidth="1"/>
    <col min="6916" max="6916" width="14.5546875" customWidth="1"/>
    <col min="6917" max="6917" width="15.5546875" customWidth="1"/>
    <col min="6918" max="6918" width="14.5546875" customWidth="1"/>
    <col min="6919" max="6919" width="16.5546875" customWidth="1"/>
    <col min="6920" max="6920" width="14.5546875" customWidth="1"/>
    <col min="6921" max="6921" width="11.5546875" customWidth="1"/>
    <col min="6922" max="6922" width="12.88671875" customWidth="1"/>
    <col min="6923" max="6924" width="13.5546875" customWidth="1"/>
    <col min="6925" max="6925" width="13.44140625" bestFit="1" customWidth="1"/>
    <col min="7169" max="7169" width="6.109375" customWidth="1"/>
    <col min="7170" max="7170" width="28.109375" customWidth="1"/>
    <col min="7171" max="7171" width="13.88671875" customWidth="1"/>
    <col min="7172" max="7172" width="14.5546875" customWidth="1"/>
    <col min="7173" max="7173" width="15.5546875" customWidth="1"/>
    <col min="7174" max="7174" width="14.5546875" customWidth="1"/>
    <col min="7175" max="7175" width="16.5546875" customWidth="1"/>
    <col min="7176" max="7176" width="14.5546875" customWidth="1"/>
    <col min="7177" max="7177" width="11.5546875" customWidth="1"/>
    <col min="7178" max="7178" width="12.88671875" customWidth="1"/>
    <col min="7179" max="7180" width="13.5546875" customWidth="1"/>
    <col min="7181" max="7181" width="13.44140625" bestFit="1" customWidth="1"/>
    <col min="7425" max="7425" width="6.109375" customWidth="1"/>
    <col min="7426" max="7426" width="28.109375" customWidth="1"/>
    <col min="7427" max="7427" width="13.88671875" customWidth="1"/>
    <col min="7428" max="7428" width="14.5546875" customWidth="1"/>
    <col min="7429" max="7429" width="15.5546875" customWidth="1"/>
    <col min="7430" max="7430" width="14.5546875" customWidth="1"/>
    <col min="7431" max="7431" width="16.5546875" customWidth="1"/>
    <col min="7432" max="7432" width="14.5546875" customWidth="1"/>
    <col min="7433" max="7433" width="11.5546875" customWidth="1"/>
    <col min="7434" max="7434" width="12.88671875" customWidth="1"/>
    <col min="7435" max="7436" width="13.5546875" customWidth="1"/>
    <col min="7437" max="7437" width="13.44140625" bestFit="1" customWidth="1"/>
    <col min="7681" max="7681" width="6.109375" customWidth="1"/>
    <col min="7682" max="7682" width="28.109375" customWidth="1"/>
    <col min="7683" max="7683" width="13.88671875" customWidth="1"/>
    <col min="7684" max="7684" width="14.5546875" customWidth="1"/>
    <col min="7685" max="7685" width="15.5546875" customWidth="1"/>
    <col min="7686" max="7686" width="14.5546875" customWidth="1"/>
    <col min="7687" max="7687" width="16.5546875" customWidth="1"/>
    <col min="7688" max="7688" width="14.5546875" customWidth="1"/>
    <col min="7689" max="7689" width="11.5546875" customWidth="1"/>
    <col min="7690" max="7690" width="12.88671875" customWidth="1"/>
    <col min="7691" max="7692" width="13.5546875" customWidth="1"/>
    <col min="7693" max="7693" width="13.44140625" bestFit="1" customWidth="1"/>
    <col min="7937" max="7937" width="6.109375" customWidth="1"/>
    <col min="7938" max="7938" width="28.109375" customWidth="1"/>
    <col min="7939" max="7939" width="13.88671875" customWidth="1"/>
    <col min="7940" max="7940" width="14.5546875" customWidth="1"/>
    <col min="7941" max="7941" width="15.5546875" customWidth="1"/>
    <col min="7942" max="7942" width="14.5546875" customWidth="1"/>
    <col min="7943" max="7943" width="16.5546875" customWidth="1"/>
    <col min="7944" max="7944" width="14.5546875" customWidth="1"/>
    <col min="7945" max="7945" width="11.5546875" customWidth="1"/>
    <col min="7946" max="7946" width="12.88671875" customWidth="1"/>
    <col min="7947" max="7948" width="13.5546875" customWidth="1"/>
    <col min="7949" max="7949" width="13.44140625" bestFit="1" customWidth="1"/>
    <col min="8193" max="8193" width="6.109375" customWidth="1"/>
    <col min="8194" max="8194" width="28.109375" customWidth="1"/>
    <col min="8195" max="8195" width="13.88671875" customWidth="1"/>
    <col min="8196" max="8196" width="14.5546875" customWidth="1"/>
    <col min="8197" max="8197" width="15.5546875" customWidth="1"/>
    <col min="8198" max="8198" width="14.5546875" customWidth="1"/>
    <col min="8199" max="8199" width="16.5546875" customWidth="1"/>
    <col min="8200" max="8200" width="14.5546875" customWidth="1"/>
    <col min="8201" max="8201" width="11.5546875" customWidth="1"/>
    <col min="8202" max="8202" width="12.88671875" customWidth="1"/>
    <col min="8203" max="8204" width="13.5546875" customWidth="1"/>
    <col min="8205" max="8205" width="13.44140625" bestFit="1" customWidth="1"/>
    <col min="8449" max="8449" width="6.109375" customWidth="1"/>
    <col min="8450" max="8450" width="28.109375" customWidth="1"/>
    <col min="8451" max="8451" width="13.88671875" customWidth="1"/>
    <col min="8452" max="8452" width="14.5546875" customWidth="1"/>
    <col min="8453" max="8453" width="15.5546875" customWidth="1"/>
    <col min="8454" max="8454" width="14.5546875" customWidth="1"/>
    <col min="8455" max="8455" width="16.5546875" customWidth="1"/>
    <col min="8456" max="8456" width="14.5546875" customWidth="1"/>
    <col min="8457" max="8457" width="11.5546875" customWidth="1"/>
    <col min="8458" max="8458" width="12.88671875" customWidth="1"/>
    <col min="8459" max="8460" width="13.5546875" customWidth="1"/>
    <col min="8461" max="8461" width="13.44140625" bestFit="1" customWidth="1"/>
    <col min="8705" max="8705" width="6.109375" customWidth="1"/>
    <col min="8706" max="8706" width="28.109375" customWidth="1"/>
    <col min="8707" max="8707" width="13.88671875" customWidth="1"/>
    <col min="8708" max="8708" width="14.5546875" customWidth="1"/>
    <col min="8709" max="8709" width="15.5546875" customWidth="1"/>
    <col min="8710" max="8710" width="14.5546875" customWidth="1"/>
    <col min="8711" max="8711" width="16.5546875" customWidth="1"/>
    <col min="8712" max="8712" width="14.5546875" customWidth="1"/>
    <col min="8713" max="8713" width="11.5546875" customWidth="1"/>
    <col min="8714" max="8714" width="12.88671875" customWidth="1"/>
    <col min="8715" max="8716" width="13.5546875" customWidth="1"/>
    <col min="8717" max="8717" width="13.44140625" bestFit="1" customWidth="1"/>
    <col min="8961" max="8961" width="6.109375" customWidth="1"/>
    <col min="8962" max="8962" width="28.109375" customWidth="1"/>
    <col min="8963" max="8963" width="13.88671875" customWidth="1"/>
    <col min="8964" max="8964" width="14.5546875" customWidth="1"/>
    <col min="8965" max="8965" width="15.5546875" customWidth="1"/>
    <col min="8966" max="8966" width="14.5546875" customWidth="1"/>
    <col min="8967" max="8967" width="16.5546875" customWidth="1"/>
    <col min="8968" max="8968" width="14.5546875" customWidth="1"/>
    <col min="8969" max="8969" width="11.5546875" customWidth="1"/>
    <col min="8970" max="8970" width="12.88671875" customWidth="1"/>
    <col min="8971" max="8972" width="13.5546875" customWidth="1"/>
    <col min="8973" max="8973" width="13.44140625" bestFit="1" customWidth="1"/>
    <col min="9217" max="9217" width="6.109375" customWidth="1"/>
    <col min="9218" max="9218" width="28.109375" customWidth="1"/>
    <col min="9219" max="9219" width="13.88671875" customWidth="1"/>
    <col min="9220" max="9220" width="14.5546875" customWidth="1"/>
    <col min="9221" max="9221" width="15.5546875" customWidth="1"/>
    <col min="9222" max="9222" width="14.5546875" customWidth="1"/>
    <col min="9223" max="9223" width="16.5546875" customWidth="1"/>
    <col min="9224" max="9224" width="14.5546875" customWidth="1"/>
    <col min="9225" max="9225" width="11.5546875" customWidth="1"/>
    <col min="9226" max="9226" width="12.88671875" customWidth="1"/>
    <col min="9227" max="9228" width="13.5546875" customWidth="1"/>
    <col min="9229" max="9229" width="13.44140625" bestFit="1" customWidth="1"/>
    <col min="9473" max="9473" width="6.109375" customWidth="1"/>
    <col min="9474" max="9474" width="28.109375" customWidth="1"/>
    <col min="9475" max="9475" width="13.88671875" customWidth="1"/>
    <col min="9476" max="9476" width="14.5546875" customWidth="1"/>
    <col min="9477" max="9477" width="15.5546875" customWidth="1"/>
    <col min="9478" max="9478" width="14.5546875" customWidth="1"/>
    <col min="9479" max="9479" width="16.5546875" customWidth="1"/>
    <col min="9480" max="9480" width="14.5546875" customWidth="1"/>
    <col min="9481" max="9481" width="11.5546875" customWidth="1"/>
    <col min="9482" max="9482" width="12.88671875" customWidth="1"/>
    <col min="9483" max="9484" width="13.5546875" customWidth="1"/>
    <col min="9485" max="9485" width="13.44140625" bestFit="1" customWidth="1"/>
    <col min="9729" max="9729" width="6.109375" customWidth="1"/>
    <col min="9730" max="9730" width="28.109375" customWidth="1"/>
    <col min="9731" max="9731" width="13.88671875" customWidth="1"/>
    <col min="9732" max="9732" width="14.5546875" customWidth="1"/>
    <col min="9733" max="9733" width="15.5546875" customWidth="1"/>
    <col min="9734" max="9734" width="14.5546875" customWidth="1"/>
    <col min="9735" max="9735" width="16.5546875" customWidth="1"/>
    <col min="9736" max="9736" width="14.5546875" customWidth="1"/>
    <col min="9737" max="9737" width="11.5546875" customWidth="1"/>
    <col min="9738" max="9738" width="12.88671875" customWidth="1"/>
    <col min="9739" max="9740" width="13.5546875" customWidth="1"/>
    <col min="9741" max="9741" width="13.44140625" bestFit="1" customWidth="1"/>
    <col min="9985" max="9985" width="6.109375" customWidth="1"/>
    <col min="9986" max="9986" width="28.109375" customWidth="1"/>
    <col min="9987" max="9987" width="13.88671875" customWidth="1"/>
    <col min="9988" max="9988" width="14.5546875" customWidth="1"/>
    <col min="9989" max="9989" width="15.5546875" customWidth="1"/>
    <col min="9990" max="9990" width="14.5546875" customWidth="1"/>
    <col min="9991" max="9991" width="16.5546875" customWidth="1"/>
    <col min="9992" max="9992" width="14.5546875" customWidth="1"/>
    <col min="9993" max="9993" width="11.5546875" customWidth="1"/>
    <col min="9994" max="9994" width="12.88671875" customWidth="1"/>
    <col min="9995" max="9996" width="13.5546875" customWidth="1"/>
    <col min="9997" max="9997" width="13.44140625" bestFit="1" customWidth="1"/>
    <col min="10241" max="10241" width="6.109375" customWidth="1"/>
    <col min="10242" max="10242" width="28.109375" customWidth="1"/>
    <col min="10243" max="10243" width="13.88671875" customWidth="1"/>
    <col min="10244" max="10244" width="14.5546875" customWidth="1"/>
    <col min="10245" max="10245" width="15.5546875" customWidth="1"/>
    <col min="10246" max="10246" width="14.5546875" customWidth="1"/>
    <col min="10247" max="10247" width="16.5546875" customWidth="1"/>
    <col min="10248" max="10248" width="14.5546875" customWidth="1"/>
    <col min="10249" max="10249" width="11.5546875" customWidth="1"/>
    <col min="10250" max="10250" width="12.88671875" customWidth="1"/>
    <col min="10251" max="10252" width="13.5546875" customWidth="1"/>
    <col min="10253" max="10253" width="13.44140625" bestFit="1" customWidth="1"/>
    <col min="10497" max="10497" width="6.109375" customWidth="1"/>
    <col min="10498" max="10498" width="28.109375" customWidth="1"/>
    <col min="10499" max="10499" width="13.88671875" customWidth="1"/>
    <col min="10500" max="10500" width="14.5546875" customWidth="1"/>
    <col min="10501" max="10501" width="15.5546875" customWidth="1"/>
    <col min="10502" max="10502" width="14.5546875" customWidth="1"/>
    <col min="10503" max="10503" width="16.5546875" customWidth="1"/>
    <col min="10504" max="10504" width="14.5546875" customWidth="1"/>
    <col min="10505" max="10505" width="11.5546875" customWidth="1"/>
    <col min="10506" max="10506" width="12.88671875" customWidth="1"/>
    <col min="10507" max="10508" width="13.5546875" customWidth="1"/>
    <col min="10509" max="10509" width="13.44140625" bestFit="1" customWidth="1"/>
    <col min="10753" max="10753" width="6.109375" customWidth="1"/>
    <col min="10754" max="10754" width="28.109375" customWidth="1"/>
    <col min="10755" max="10755" width="13.88671875" customWidth="1"/>
    <col min="10756" max="10756" width="14.5546875" customWidth="1"/>
    <col min="10757" max="10757" width="15.5546875" customWidth="1"/>
    <col min="10758" max="10758" width="14.5546875" customWidth="1"/>
    <col min="10759" max="10759" width="16.5546875" customWidth="1"/>
    <col min="10760" max="10760" width="14.5546875" customWidth="1"/>
    <col min="10761" max="10761" width="11.5546875" customWidth="1"/>
    <col min="10762" max="10762" width="12.88671875" customWidth="1"/>
    <col min="10763" max="10764" width="13.5546875" customWidth="1"/>
    <col min="10765" max="10765" width="13.44140625" bestFit="1" customWidth="1"/>
    <col min="11009" max="11009" width="6.109375" customWidth="1"/>
    <col min="11010" max="11010" width="28.109375" customWidth="1"/>
    <col min="11011" max="11011" width="13.88671875" customWidth="1"/>
    <col min="11012" max="11012" width="14.5546875" customWidth="1"/>
    <col min="11013" max="11013" width="15.5546875" customWidth="1"/>
    <col min="11014" max="11014" width="14.5546875" customWidth="1"/>
    <col min="11015" max="11015" width="16.5546875" customWidth="1"/>
    <col min="11016" max="11016" width="14.5546875" customWidth="1"/>
    <col min="11017" max="11017" width="11.5546875" customWidth="1"/>
    <col min="11018" max="11018" width="12.88671875" customWidth="1"/>
    <col min="11019" max="11020" width="13.5546875" customWidth="1"/>
    <col min="11021" max="11021" width="13.44140625" bestFit="1" customWidth="1"/>
    <col min="11265" max="11265" width="6.109375" customWidth="1"/>
    <col min="11266" max="11266" width="28.109375" customWidth="1"/>
    <col min="11267" max="11267" width="13.88671875" customWidth="1"/>
    <col min="11268" max="11268" width="14.5546875" customWidth="1"/>
    <col min="11269" max="11269" width="15.5546875" customWidth="1"/>
    <col min="11270" max="11270" width="14.5546875" customWidth="1"/>
    <col min="11271" max="11271" width="16.5546875" customWidth="1"/>
    <col min="11272" max="11272" width="14.5546875" customWidth="1"/>
    <col min="11273" max="11273" width="11.5546875" customWidth="1"/>
    <col min="11274" max="11274" width="12.88671875" customWidth="1"/>
    <col min="11275" max="11276" width="13.5546875" customWidth="1"/>
    <col min="11277" max="11277" width="13.44140625" bestFit="1" customWidth="1"/>
    <col min="11521" max="11521" width="6.109375" customWidth="1"/>
    <col min="11522" max="11522" width="28.109375" customWidth="1"/>
    <col min="11523" max="11523" width="13.88671875" customWidth="1"/>
    <col min="11524" max="11524" width="14.5546875" customWidth="1"/>
    <col min="11525" max="11525" width="15.5546875" customWidth="1"/>
    <col min="11526" max="11526" width="14.5546875" customWidth="1"/>
    <col min="11527" max="11527" width="16.5546875" customWidth="1"/>
    <col min="11528" max="11528" width="14.5546875" customWidth="1"/>
    <col min="11529" max="11529" width="11.5546875" customWidth="1"/>
    <col min="11530" max="11530" width="12.88671875" customWidth="1"/>
    <col min="11531" max="11532" width="13.5546875" customWidth="1"/>
    <col min="11533" max="11533" width="13.44140625" bestFit="1" customWidth="1"/>
    <col min="11777" max="11777" width="6.109375" customWidth="1"/>
    <col min="11778" max="11778" width="28.109375" customWidth="1"/>
    <col min="11779" max="11779" width="13.88671875" customWidth="1"/>
    <col min="11780" max="11780" width="14.5546875" customWidth="1"/>
    <col min="11781" max="11781" width="15.5546875" customWidth="1"/>
    <col min="11782" max="11782" width="14.5546875" customWidth="1"/>
    <col min="11783" max="11783" width="16.5546875" customWidth="1"/>
    <col min="11784" max="11784" width="14.5546875" customWidth="1"/>
    <col min="11785" max="11785" width="11.5546875" customWidth="1"/>
    <col min="11786" max="11786" width="12.88671875" customWidth="1"/>
    <col min="11787" max="11788" width="13.5546875" customWidth="1"/>
    <col min="11789" max="11789" width="13.44140625" bestFit="1" customWidth="1"/>
    <col min="12033" max="12033" width="6.109375" customWidth="1"/>
    <col min="12034" max="12034" width="28.109375" customWidth="1"/>
    <col min="12035" max="12035" width="13.88671875" customWidth="1"/>
    <col min="12036" max="12036" width="14.5546875" customWidth="1"/>
    <col min="12037" max="12037" width="15.5546875" customWidth="1"/>
    <col min="12038" max="12038" width="14.5546875" customWidth="1"/>
    <col min="12039" max="12039" width="16.5546875" customWidth="1"/>
    <col min="12040" max="12040" width="14.5546875" customWidth="1"/>
    <col min="12041" max="12041" width="11.5546875" customWidth="1"/>
    <col min="12042" max="12042" width="12.88671875" customWidth="1"/>
    <col min="12043" max="12044" width="13.5546875" customWidth="1"/>
    <col min="12045" max="12045" width="13.44140625" bestFit="1" customWidth="1"/>
    <col min="12289" max="12289" width="6.109375" customWidth="1"/>
    <col min="12290" max="12290" width="28.109375" customWidth="1"/>
    <col min="12291" max="12291" width="13.88671875" customWidth="1"/>
    <col min="12292" max="12292" width="14.5546875" customWidth="1"/>
    <col min="12293" max="12293" width="15.5546875" customWidth="1"/>
    <col min="12294" max="12294" width="14.5546875" customWidth="1"/>
    <col min="12295" max="12295" width="16.5546875" customWidth="1"/>
    <col min="12296" max="12296" width="14.5546875" customWidth="1"/>
    <col min="12297" max="12297" width="11.5546875" customWidth="1"/>
    <col min="12298" max="12298" width="12.88671875" customWidth="1"/>
    <col min="12299" max="12300" width="13.5546875" customWidth="1"/>
    <col min="12301" max="12301" width="13.44140625" bestFit="1" customWidth="1"/>
    <col min="12545" max="12545" width="6.109375" customWidth="1"/>
    <col min="12546" max="12546" width="28.109375" customWidth="1"/>
    <col min="12547" max="12547" width="13.88671875" customWidth="1"/>
    <col min="12548" max="12548" width="14.5546875" customWidth="1"/>
    <col min="12549" max="12549" width="15.5546875" customWidth="1"/>
    <col min="12550" max="12550" width="14.5546875" customWidth="1"/>
    <col min="12551" max="12551" width="16.5546875" customWidth="1"/>
    <col min="12552" max="12552" width="14.5546875" customWidth="1"/>
    <col min="12553" max="12553" width="11.5546875" customWidth="1"/>
    <col min="12554" max="12554" width="12.88671875" customWidth="1"/>
    <col min="12555" max="12556" width="13.5546875" customWidth="1"/>
    <col min="12557" max="12557" width="13.44140625" bestFit="1" customWidth="1"/>
    <col min="12801" max="12801" width="6.109375" customWidth="1"/>
    <col min="12802" max="12802" width="28.109375" customWidth="1"/>
    <col min="12803" max="12803" width="13.88671875" customWidth="1"/>
    <col min="12804" max="12804" width="14.5546875" customWidth="1"/>
    <col min="12805" max="12805" width="15.5546875" customWidth="1"/>
    <col min="12806" max="12806" width="14.5546875" customWidth="1"/>
    <col min="12807" max="12807" width="16.5546875" customWidth="1"/>
    <col min="12808" max="12808" width="14.5546875" customWidth="1"/>
    <col min="12809" max="12809" width="11.5546875" customWidth="1"/>
    <col min="12810" max="12810" width="12.88671875" customWidth="1"/>
    <col min="12811" max="12812" width="13.5546875" customWidth="1"/>
    <col min="12813" max="12813" width="13.44140625" bestFit="1" customWidth="1"/>
    <col min="13057" max="13057" width="6.109375" customWidth="1"/>
    <col min="13058" max="13058" width="28.109375" customWidth="1"/>
    <col min="13059" max="13059" width="13.88671875" customWidth="1"/>
    <col min="13060" max="13060" width="14.5546875" customWidth="1"/>
    <col min="13061" max="13061" width="15.5546875" customWidth="1"/>
    <col min="13062" max="13062" width="14.5546875" customWidth="1"/>
    <col min="13063" max="13063" width="16.5546875" customWidth="1"/>
    <col min="13064" max="13064" width="14.5546875" customWidth="1"/>
    <col min="13065" max="13065" width="11.5546875" customWidth="1"/>
    <col min="13066" max="13066" width="12.88671875" customWidth="1"/>
    <col min="13067" max="13068" width="13.5546875" customWidth="1"/>
    <col min="13069" max="13069" width="13.44140625" bestFit="1" customWidth="1"/>
    <col min="13313" max="13313" width="6.109375" customWidth="1"/>
    <col min="13314" max="13314" width="28.109375" customWidth="1"/>
    <col min="13315" max="13315" width="13.88671875" customWidth="1"/>
    <col min="13316" max="13316" width="14.5546875" customWidth="1"/>
    <col min="13317" max="13317" width="15.5546875" customWidth="1"/>
    <col min="13318" max="13318" width="14.5546875" customWidth="1"/>
    <col min="13319" max="13319" width="16.5546875" customWidth="1"/>
    <col min="13320" max="13320" width="14.5546875" customWidth="1"/>
    <col min="13321" max="13321" width="11.5546875" customWidth="1"/>
    <col min="13322" max="13322" width="12.88671875" customWidth="1"/>
    <col min="13323" max="13324" width="13.5546875" customWidth="1"/>
    <col min="13325" max="13325" width="13.44140625" bestFit="1" customWidth="1"/>
    <col min="13569" max="13569" width="6.109375" customWidth="1"/>
    <col min="13570" max="13570" width="28.109375" customWidth="1"/>
    <col min="13571" max="13571" width="13.88671875" customWidth="1"/>
    <col min="13572" max="13572" width="14.5546875" customWidth="1"/>
    <col min="13573" max="13573" width="15.5546875" customWidth="1"/>
    <col min="13574" max="13574" width="14.5546875" customWidth="1"/>
    <col min="13575" max="13575" width="16.5546875" customWidth="1"/>
    <col min="13576" max="13576" width="14.5546875" customWidth="1"/>
    <col min="13577" max="13577" width="11.5546875" customWidth="1"/>
    <col min="13578" max="13578" width="12.88671875" customWidth="1"/>
    <col min="13579" max="13580" width="13.5546875" customWidth="1"/>
    <col min="13581" max="13581" width="13.44140625" bestFit="1" customWidth="1"/>
    <col min="13825" max="13825" width="6.109375" customWidth="1"/>
    <col min="13826" max="13826" width="28.109375" customWidth="1"/>
    <col min="13827" max="13827" width="13.88671875" customWidth="1"/>
    <col min="13828" max="13828" width="14.5546875" customWidth="1"/>
    <col min="13829" max="13829" width="15.5546875" customWidth="1"/>
    <col min="13830" max="13830" width="14.5546875" customWidth="1"/>
    <col min="13831" max="13831" width="16.5546875" customWidth="1"/>
    <col min="13832" max="13832" width="14.5546875" customWidth="1"/>
    <col min="13833" max="13833" width="11.5546875" customWidth="1"/>
    <col min="13834" max="13834" width="12.88671875" customWidth="1"/>
    <col min="13835" max="13836" width="13.5546875" customWidth="1"/>
    <col min="13837" max="13837" width="13.44140625" bestFit="1" customWidth="1"/>
    <col min="14081" max="14081" width="6.109375" customWidth="1"/>
    <col min="14082" max="14082" width="28.109375" customWidth="1"/>
    <col min="14083" max="14083" width="13.88671875" customWidth="1"/>
    <col min="14084" max="14084" width="14.5546875" customWidth="1"/>
    <col min="14085" max="14085" width="15.5546875" customWidth="1"/>
    <col min="14086" max="14086" width="14.5546875" customWidth="1"/>
    <col min="14087" max="14087" width="16.5546875" customWidth="1"/>
    <col min="14088" max="14088" width="14.5546875" customWidth="1"/>
    <col min="14089" max="14089" width="11.5546875" customWidth="1"/>
    <col min="14090" max="14090" width="12.88671875" customWidth="1"/>
    <col min="14091" max="14092" width="13.5546875" customWidth="1"/>
    <col min="14093" max="14093" width="13.44140625" bestFit="1" customWidth="1"/>
    <col min="14337" max="14337" width="6.109375" customWidth="1"/>
    <col min="14338" max="14338" width="28.109375" customWidth="1"/>
    <col min="14339" max="14339" width="13.88671875" customWidth="1"/>
    <col min="14340" max="14340" width="14.5546875" customWidth="1"/>
    <col min="14341" max="14341" width="15.5546875" customWidth="1"/>
    <col min="14342" max="14342" width="14.5546875" customWidth="1"/>
    <col min="14343" max="14343" width="16.5546875" customWidth="1"/>
    <col min="14344" max="14344" width="14.5546875" customWidth="1"/>
    <col min="14345" max="14345" width="11.5546875" customWidth="1"/>
    <col min="14346" max="14346" width="12.88671875" customWidth="1"/>
    <col min="14347" max="14348" width="13.5546875" customWidth="1"/>
    <col min="14349" max="14349" width="13.44140625" bestFit="1" customWidth="1"/>
    <col min="14593" max="14593" width="6.109375" customWidth="1"/>
    <col min="14594" max="14594" width="28.109375" customWidth="1"/>
    <col min="14595" max="14595" width="13.88671875" customWidth="1"/>
    <col min="14596" max="14596" width="14.5546875" customWidth="1"/>
    <col min="14597" max="14597" width="15.5546875" customWidth="1"/>
    <col min="14598" max="14598" width="14.5546875" customWidth="1"/>
    <col min="14599" max="14599" width="16.5546875" customWidth="1"/>
    <col min="14600" max="14600" width="14.5546875" customWidth="1"/>
    <col min="14601" max="14601" width="11.5546875" customWidth="1"/>
    <col min="14602" max="14602" width="12.88671875" customWidth="1"/>
    <col min="14603" max="14604" width="13.5546875" customWidth="1"/>
    <col min="14605" max="14605" width="13.44140625" bestFit="1" customWidth="1"/>
    <col min="14849" max="14849" width="6.109375" customWidth="1"/>
    <col min="14850" max="14850" width="28.109375" customWidth="1"/>
    <col min="14851" max="14851" width="13.88671875" customWidth="1"/>
    <col min="14852" max="14852" width="14.5546875" customWidth="1"/>
    <col min="14853" max="14853" width="15.5546875" customWidth="1"/>
    <col min="14854" max="14854" width="14.5546875" customWidth="1"/>
    <col min="14855" max="14855" width="16.5546875" customWidth="1"/>
    <col min="14856" max="14856" width="14.5546875" customWidth="1"/>
    <col min="14857" max="14857" width="11.5546875" customWidth="1"/>
    <col min="14858" max="14858" width="12.88671875" customWidth="1"/>
    <col min="14859" max="14860" width="13.5546875" customWidth="1"/>
    <col min="14861" max="14861" width="13.44140625" bestFit="1" customWidth="1"/>
    <col min="15105" max="15105" width="6.109375" customWidth="1"/>
    <col min="15106" max="15106" width="28.109375" customWidth="1"/>
    <col min="15107" max="15107" width="13.88671875" customWidth="1"/>
    <col min="15108" max="15108" width="14.5546875" customWidth="1"/>
    <col min="15109" max="15109" width="15.5546875" customWidth="1"/>
    <col min="15110" max="15110" width="14.5546875" customWidth="1"/>
    <col min="15111" max="15111" width="16.5546875" customWidth="1"/>
    <col min="15112" max="15112" width="14.5546875" customWidth="1"/>
    <col min="15113" max="15113" width="11.5546875" customWidth="1"/>
    <col min="15114" max="15114" width="12.88671875" customWidth="1"/>
    <col min="15115" max="15116" width="13.5546875" customWidth="1"/>
    <col min="15117" max="15117" width="13.44140625" bestFit="1" customWidth="1"/>
    <col min="15361" max="15361" width="6.109375" customWidth="1"/>
    <col min="15362" max="15362" width="28.109375" customWidth="1"/>
    <col min="15363" max="15363" width="13.88671875" customWidth="1"/>
    <col min="15364" max="15364" width="14.5546875" customWidth="1"/>
    <col min="15365" max="15365" width="15.5546875" customWidth="1"/>
    <col min="15366" max="15366" width="14.5546875" customWidth="1"/>
    <col min="15367" max="15367" width="16.5546875" customWidth="1"/>
    <col min="15368" max="15368" width="14.5546875" customWidth="1"/>
    <col min="15369" max="15369" width="11.5546875" customWidth="1"/>
    <col min="15370" max="15370" width="12.88671875" customWidth="1"/>
    <col min="15371" max="15372" width="13.5546875" customWidth="1"/>
    <col min="15373" max="15373" width="13.44140625" bestFit="1" customWidth="1"/>
    <col min="15617" max="15617" width="6.109375" customWidth="1"/>
    <col min="15618" max="15618" width="28.109375" customWidth="1"/>
    <col min="15619" max="15619" width="13.88671875" customWidth="1"/>
    <col min="15620" max="15620" width="14.5546875" customWidth="1"/>
    <col min="15621" max="15621" width="15.5546875" customWidth="1"/>
    <col min="15622" max="15622" width="14.5546875" customWidth="1"/>
    <col min="15623" max="15623" width="16.5546875" customWidth="1"/>
    <col min="15624" max="15624" width="14.5546875" customWidth="1"/>
    <col min="15625" max="15625" width="11.5546875" customWidth="1"/>
    <col min="15626" max="15626" width="12.88671875" customWidth="1"/>
    <col min="15627" max="15628" width="13.5546875" customWidth="1"/>
    <col min="15629" max="15629" width="13.44140625" bestFit="1" customWidth="1"/>
    <col min="15873" max="15873" width="6.109375" customWidth="1"/>
    <col min="15874" max="15874" width="28.109375" customWidth="1"/>
    <col min="15875" max="15875" width="13.88671875" customWidth="1"/>
    <col min="15876" max="15876" width="14.5546875" customWidth="1"/>
    <col min="15877" max="15877" width="15.5546875" customWidth="1"/>
    <col min="15878" max="15878" width="14.5546875" customWidth="1"/>
    <col min="15879" max="15879" width="16.5546875" customWidth="1"/>
    <col min="15880" max="15880" width="14.5546875" customWidth="1"/>
    <col min="15881" max="15881" width="11.5546875" customWidth="1"/>
    <col min="15882" max="15882" width="12.88671875" customWidth="1"/>
    <col min="15883" max="15884" width="13.5546875" customWidth="1"/>
    <col min="15885" max="15885" width="13.44140625" bestFit="1" customWidth="1"/>
    <col min="16129" max="16129" width="6.109375" customWidth="1"/>
    <col min="16130" max="16130" width="28.109375" customWidth="1"/>
    <col min="16131" max="16131" width="13.88671875" customWidth="1"/>
    <col min="16132" max="16132" width="14.5546875" customWidth="1"/>
    <col min="16133" max="16133" width="15.5546875" customWidth="1"/>
    <col min="16134" max="16134" width="14.5546875" customWidth="1"/>
    <col min="16135" max="16135" width="16.5546875" customWidth="1"/>
    <col min="16136" max="16136" width="14.5546875" customWidth="1"/>
    <col min="16137" max="16137" width="11.5546875" customWidth="1"/>
    <col min="16138" max="16138" width="12.88671875" customWidth="1"/>
    <col min="16139" max="16140" width="13.5546875" customWidth="1"/>
    <col min="16141" max="16141" width="13.44140625" bestFit="1" customWidth="1"/>
  </cols>
  <sheetData>
    <row r="2" spans="1:14" ht="18" x14ac:dyDescent="0.35">
      <c r="B2" s="299" t="s">
        <v>471</v>
      </c>
    </row>
    <row r="3" spans="1:14" ht="15.6" x14ac:dyDescent="0.3">
      <c r="B3" s="418" t="s">
        <v>419</v>
      </c>
    </row>
    <row r="4" spans="1:14" x14ac:dyDescent="0.3">
      <c r="A4" s="96"/>
      <c r="B4" s="30"/>
      <c r="C4" s="30"/>
      <c r="D4" s="30"/>
      <c r="E4" s="30"/>
      <c r="F4" s="30"/>
      <c r="G4" s="30"/>
      <c r="H4" s="30"/>
      <c r="I4" s="30"/>
      <c r="J4" s="30"/>
      <c r="K4" s="31"/>
      <c r="L4" s="31"/>
      <c r="M4" s="30"/>
      <c r="N4" s="32"/>
    </row>
    <row r="5" spans="1:14" s="40" customFormat="1" x14ac:dyDescent="0.3">
      <c r="A5" s="33"/>
      <c r="B5" s="20"/>
      <c r="C5" s="34" t="s">
        <v>1</v>
      </c>
      <c r="D5" s="35" t="s">
        <v>2</v>
      </c>
      <c r="E5" s="36" t="s">
        <v>3</v>
      </c>
      <c r="F5" s="36" t="s">
        <v>4</v>
      </c>
      <c r="G5" s="36" t="s">
        <v>5</v>
      </c>
      <c r="H5" s="36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8"/>
      <c r="N5" s="39"/>
    </row>
    <row r="6" spans="1:14" ht="91.35" customHeight="1" x14ac:dyDescent="0.3">
      <c r="A6" s="41" t="s">
        <v>189</v>
      </c>
      <c r="B6" s="302" t="s">
        <v>357</v>
      </c>
      <c r="C6" s="42" t="s">
        <v>190</v>
      </c>
      <c r="D6" s="36" t="s">
        <v>12</v>
      </c>
      <c r="E6" s="36" t="s">
        <v>13</v>
      </c>
      <c r="F6" s="36" t="s">
        <v>14</v>
      </c>
      <c r="G6" s="36" t="s">
        <v>15</v>
      </c>
      <c r="H6" s="36" t="s">
        <v>191</v>
      </c>
      <c r="I6" s="43" t="s">
        <v>17</v>
      </c>
      <c r="J6" s="43" t="s">
        <v>18</v>
      </c>
      <c r="K6" s="43" t="s">
        <v>19</v>
      </c>
      <c r="L6" s="43" t="s">
        <v>360</v>
      </c>
      <c r="M6" s="36" t="s">
        <v>193</v>
      </c>
      <c r="N6" s="32"/>
    </row>
    <row r="7" spans="1:14" s="40" customFormat="1" x14ac:dyDescent="0.3">
      <c r="A7" s="44"/>
      <c r="B7" s="123" t="s">
        <v>471</v>
      </c>
      <c r="C7" s="303">
        <f>I18</f>
        <v>8127670.1099999994</v>
      </c>
      <c r="D7" s="303">
        <f>E7+F7+G7+H7+I7+J7+K7+L7</f>
        <v>1015025.44</v>
      </c>
      <c r="E7" s="303">
        <v>32818.120000000003</v>
      </c>
      <c r="F7" s="303">
        <v>369541.54</v>
      </c>
      <c r="G7" s="303">
        <v>284514.28000000003</v>
      </c>
      <c r="H7" s="303">
        <v>27000</v>
      </c>
      <c r="I7" s="303">
        <v>27533.41</v>
      </c>
      <c r="J7" s="303">
        <v>7112.88</v>
      </c>
      <c r="K7" s="303">
        <v>149931.14000000001</v>
      </c>
      <c r="L7" s="303">
        <v>116574.07</v>
      </c>
      <c r="M7" s="411">
        <v>69</v>
      </c>
      <c r="N7" s="39"/>
    </row>
    <row r="8" spans="1:14" x14ac:dyDescent="0.3">
      <c r="A8" s="419"/>
      <c r="B8" s="52"/>
      <c r="C8" s="50"/>
      <c r="D8" s="49"/>
      <c r="E8" s="50"/>
      <c r="F8" s="50"/>
      <c r="G8" s="50"/>
      <c r="H8" s="50"/>
      <c r="I8" s="50"/>
      <c r="J8" s="50"/>
      <c r="K8" s="50"/>
      <c r="L8" s="50"/>
      <c r="M8" s="19"/>
      <c r="N8" s="32"/>
    </row>
    <row r="9" spans="1:14" x14ac:dyDescent="0.3">
      <c r="A9" s="96"/>
      <c r="B9" s="30"/>
      <c r="C9" s="30"/>
      <c r="D9" s="55"/>
      <c r="E9" s="55"/>
      <c r="F9" s="30"/>
      <c r="G9" s="30"/>
      <c r="H9" s="30"/>
      <c r="I9" s="30"/>
      <c r="J9" s="30"/>
      <c r="K9" s="31"/>
      <c r="L9" s="31"/>
      <c r="N9" s="32"/>
    </row>
    <row r="10" spans="1:14" x14ac:dyDescent="0.3">
      <c r="A10" s="96"/>
      <c r="B10" s="30"/>
      <c r="C10" s="30"/>
      <c r="D10" s="55"/>
      <c r="E10" s="30"/>
      <c r="F10" s="30"/>
      <c r="G10" s="30"/>
      <c r="H10" s="30"/>
      <c r="I10" s="30"/>
      <c r="J10" s="30"/>
      <c r="K10" s="31"/>
      <c r="L10" s="55"/>
      <c r="M10" s="30"/>
      <c r="N10" s="32"/>
    </row>
    <row r="11" spans="1:14" x14ac:dyDescent="0.3">
      <c r="A11" s="96"/>
      <c r="B11" s="95" t="s">
        <v>197</v>
      </c>
      <c r="C11" s="30"/>
      <c r="D11" s="30"/>
      <c r="E11" s="30"/>
      <c r="F11" s="30"/>
      <c r="G11" s="30"/>
      <c r="H11" s="30"/>
      <c r="I11" s="30"/>
      <c r="J11" s="95"/>
      <c r="K11" s="30"/>
      <c r="L11" s="55"/>
      <c r="M11" s="55"/>
    </row>
    <row r="12" spans="1:14" s="40" customFormat="1" ht="90" x14ac:dyDescent="1.45">
      <c r="A12" s="38" t="s">
        <v>189</v>
      </c>
      <c r="B12" s="307" t="s">
        <v>361</v>
      </c>
      <c r="C12" s="59" t="s">
        <v>199</v>
      </c>
      <c r="D12" s="59" t="s">
        <v>200</v>
      </c>
      <c r="E12" s="59" t="s">
        <v>201</v>
      </c>
      <c r="F12" s="59" t="s">
        <v>202</v>
      </c>
      <c r="G12" s="59" t="s">
        <v>53</v>
      </c>
      <c r="H12" s="59" t="s">
        <v>203</v>
      </c>
      <c r="I12" s="59" t="s">
        <v>204</v>
      </c>
      <c r="J12" s="420"/>
      <c r="K12" s="421"/>
      <c r="L12" s="96"/>
      <c r="M12" s="96"/>
    </row>
    <row r="13" spans="1:14" s="24" customFormat="1" ht="92.4" customHeight="1" x14ac:dyDescent="0.3">
      <c r="A13" s="360">
        <v>1</v>
      </c>
      <c r="B13" s="422" t="s">
        <v>472</v>
      </c>
      <c r="C13" s="361">
        <v>1978</v>
      </c>
      <c r="D13" s="361" t="s">
        <v>473</v>
      </c>
      <c r="E13" s="371" t="s">
        <v>474</v>
      </c>
      <c r="F13" s="371" t="s">
        <v>475</v>
      </c>
      <c r="G13" s="361">
        <v>3208</v>
      </c>
      <c r="H13" s="372">
        <v>1</v>
      </c>
      <c r="I13" s="407">
        <f>G13*1200</f>
        <v>3849600</v>
      </c>
      <c r="J13" s="387"/>
      <c r="K13" s="99"/>
      <c r="M13" s="423"/>
    </row>
    <row r="14" spans="1:14" s="24" customFormat="1" ht="115.2" x14ac:dyDescent="0.3">
      <c r="A14" s="360">
        <v>2</v>
      </c>
      <c r="B14" s="422" t="s">
        <v>476</v>
      </c>
      <c r="C14" s="361">
        <v>1954</v>
      </c>
      <c r="D14" s="361">
        <v>2002</v>
      </c>
      <c r="E14" s="361" t="s">
        <v>477</v>
      </c>
      <c r="F14" s="361" t="s">
        <v>478</v>
      </c>
      <c r="G14" s="361">
        <v>334</v>
      </c>
      <c r="H14" s="372">
        <v>1</v>
      </c>
      <c r="I14" s="407">
        <f>G14*1150</f>
        <v>384100</v>
      </c>
      <c r="J14" s="387"/>
      <c r="M14" s="423"/>
    </row>
    <row r="15" spans="1:14" s="24" customFormat="1" ht="43.2" x14ac:dyDescent="0.3">
      <c r="A15" s="360">
        <v>3</v>
      </c>
      <c r="B15" s="422" t="s">
        <v>479</v>
      </c>
      <c r="C15" s="361">
        <v>2018</v>
      </c>
      <c r="D15" s="361">
        <v>2018</v>
      </c>
      <c r="E15" s="361" t="s">
        <v>480</v>
      </c>
      <c r="F15" s="361" t="s">
        <v>481</v>
      </c>
      <c r="G15" s="361">
        <v>374</v>
      </c>
      <c r="H15" s="372">
        <v>1</v>
      </c>
      <c r="I15" s="407">
        <f>G15*1400</f>
        <v>523600</v>
      </c>
      <c r="J15" s="387"/>
      <c r="M15" s="423"/>
    </row>
    <row r="16" spans="1:14" s="1" customFormat="1" ht="43.2" x14ac:dyDescent="0.3">
      <c r="A16" s="360">
        <v>4</v>
      </c>
      <c r="B16" s="422" t="s">
        <v>482</v>
      </c>
      <c r="C16" s="361">
        <v>1981</v>
      </c>
      <c r="D16" s="361">
        <v>2011</v>
      </c>
      <c r="E16" s="361" t="s">
        <v>483</v>
      </c>
      <c r="F16" s="361" t="s">
        <v>481</v>
      </c>
      <c r="G16" s="361">
        <v>586</v>
      </c>
      <c r="H16" s="372">
        <v>1</v>
      </c>
      <c r="I16" s="407">
        <f>G16*1400</f>
        <v>820400</v>
      </c>
      <c r="J16" s="387"/>
      <c r="M16" s="423"/>
    </row>
    <row r="17" spans="1:29" s="1" customFormat="1" ht="27.6" customHeight="1" x14ac:dyDescent="0.3">
      <c r="A17" s="360">
        <v>5</v>
      </c>
      <c r="B17" s="422" t="s">
        <v>484</v>
      </c>
      <c r="C17" s="361">
        <v>2017</v>
      </c>
      <c r="D17" s="361">
        <v>2017</v>
      </c>
      <c r="E17" s="361" t="s">
        <v>485</v>
      </c>
      <c r="F17" s="361" t="s">
        <v>475</v>
      </c>
      <c r="G17" s="361">
        <v>1684</v>
      </c>
      <c r="H17" s="372">
        <v>1</v>
      </c>
      <c r="I17" s="407">
        <v>2549970.11</v>
      </c>
      <c r="J17" s="387"/>
      <c r="M17" s="423"/>
    </row>
    <row r="18" spans="1:29" s="378" customFormat="1" x14ac:dyDescent="0.3">
      <c r="A18" s="424"/>
      <c r="B18" s="422" t="s">
        <v>83</v>
      </c>
      <c r="C18" s="425"/>
      <c r="D18" s="425"/>
      <c r="E18" s="425"/>
      <c r="F18" s="425"/>
      <c r="G18" s="425">
        <f>SUM(G13:G17)</f>
        <v>6186</v>
      </c>
      <c r="H18" s="425"/>
      <c r="I18" s="426">
        <f>SUM(I13:I17)</f>
        <v>8127670.1099999994</v>
      </c>
      <c r="J18" s="427"/>
      <c r="M18" s="428"/>
    </row>
    <row r="19" spans="1:29" s="1" customFormat="1" x14ac:dyDescent="0.3">
      <c r="A19" s="40"/>
      <c r="B19" s="56"/>
      <c r="C19"/>
      <c r="D19" s="56"/>
      <c r="E19"/>
      <c r="F19"/>
      <c r="G19"/>
      <c r="H19"/>
      <c r="I19"/>
      <c r="J19"/>
    </row>
    <row r="20" spans="1:29" s="1" customFormat="1" ht="28.2" x14ac:dyDescent="0.3">
      <c r="A20" s="40"/>
      <c r="B20" s="316" t="s">
        <v>372</v>
      </c>
      <c r="C20"/>
      <c r="D20" s="56"/>
      <c r="E20"/>
      <c r="F20"/>
      <c r="G20"/>
      <c r="H20"/>
      <c r="I20"/>
      <c r="J20"/>
    </row>
    <row r="21" spans="1:29" s="1" customFormat="1" ht="96.6" customHeight="1" x14ac:dyDescent="0.3">
      <c r="A21" s="41" t="s">
        <v>189</v>
      </c>
      <c r="B21" s="317" t="s">
        <v>373</v>
      </c>
      <c r="C21" s="36" t="s">
        <v>374</v>
      </c>
      <c r="D21" s="36" t="s">
        <v>375</v>
      </c>
      <c r="E21" s="36" t="s">
        <v>376</v>
      </c>
      <c r="F21" s="89"/>
      <c r="G21"/>
      <c r="H21"/>
      <c r="I21"/>
      <c r="J21"/>
    </row>
    <row r="22" spans="1:29" s="1" customFormat="1" ht="43.2" x14ac:dyDescent="0.3">
      <c r="A22" s="360">
        <v>1</v>
      </c>
      <c r="B22" s="422" t="s">
        <v>472</v>
      </c>
      <c r="C22" s="429">
        <f>I13</f>
        <v>3849600</v>
      </c>
      <c r="D22" s="429">
        <v>448560.28</v>
      </c>
      <c r="E22" s="429">
        <v>0</v>
      </c>
      <c r="F22" s="430"/>
      <c r="G22" s="26"/>
      <c r="H22"/>
      <c r="I22"/>
      <c r="J22" s="429"/>
    </row>
    <row r="23" spans="1:29" s="432" customFormat="1" ht="43.2" x14ac:dyDescent="0.3">
      <c r="A23" s="360">
        <v>2</v>
      </c>
      <c r="B23" s="422" t="s">
        <v>476</v>
      </c>
      <c r="C23" s="429">
        <f>I14</f>
        <v>384100</v>
      </c>
      <c r="D23" s="429">
        <v>84043.39</v>
      </c>
      <c r="E23" s="429">
        <v>2000</v>
      </c>
      <c r="F23" s="430"/>
      <c r="G23" s="431"/>
      <c r="H23" s="431"/>
      <c r="I23" s="431"/>
      <c r="J23" s="429"/>
      <c r="K23" s="431"/>
      <c r="L23" s="431"/>
      <c r="M23" s="431"/>
      <c r="N23" s="431"/>
      <c r="O23" s="431"/>
      <c r="P23" s="431"/>
      <c r="Q23" s="431"/>
      <c r="R23" s="431"/>
      <c r="S23" s="431"/>
      <c r="T23" s="431"/>
      <c r="V23" s="431"/>
      <c r="W23" s="431"/>
      <c r="X23" s="431"/>
      <c r="Y23" s="431"/>
      <c r="Z23" s="431"/>
      <c r="AA23" s="431"/>
    </row>
    <row r="24" spans="1:29" ht="43.2" x14ac:dyDescent="0.3">
      <c r="A24" s="360">
        <v>3</v>
      </c>
      <c r="B24" s="422" t="s">
        <v>479</v>
      </c>
      <c r="C24" s="429">
        <f>I15</f>
        <v>523600</v>
      </c>
      <c r="D24" s="429">
        <v>92547.7</v>
      </c>
      <c r="E24" s="429">
        <v>5000</v>
      </c>
      <c r="F24" s="433"/>
      <c r="G24" s="57"/>
      <c r="H24" s="57"/>
      <c r="I24" s="57"/>
      <c r="J24" s="429"/>
      <c r="K24" s="57"/>
      <c r="L24" s="57"/>
      <c r="M24" s="57"/>
      <c r="N24" s="319"/>
    </row>
    <row r="25" spans="1:29" ht="28.8" x14ac:dyDescent="0.3">
      <c r="A25" s="360">
        <v>4</v>
      </c>
      <c r="B25" s="422" t="s">
        <v>482</v>
      </c>
      <c r="C25" s="429">
        <f>I16</f>
        <v>820400</v>
      </c>
      <c r="D25" s="429">
        <v>122637.87</v>
      </c>
      <c r="E25" s="429">
        <v>5000</v>
      </c>
      <c r="F25" s="433"/>
      <c r="G25" s="57"/>
      <c r="H25" s="57"/>
      <c r="I25" s="57"/>
      <c r="J25" s="429"/>
      <c r="K25" s="57"/>
      <c r="L25" s="57"/>
      <c r="M25" s="57"/>
      <c r="N25" s="319"/>
    </row>
    <row r="26" spans="1:29" x14ac:dyDescent="0.3">
      <c r="A26" s="360">
        <v>5</v>
      </c>
      <c r="B26" s="422" t="s">
        <v>486</v>
      </c>
      <c r="C26" s="429">
        <v>2549970.11</v>
      </c>
      <c r="D26" s="429">
        <v>207418.08</v>
      </c>
      <c r="E26" s="429">
        <v>15000</v>
      </c>
      <c r="F26" s="433"/>
      <c r="G26" s="57"/>
      <c r="H26" s="57"/>
      <c r="I26" s="57"/>
      <c r="J26" s="429"/>
      <c r="K26" s="57"/>
      <c r="L26" s="57"/>
      <c r="M26" s="57"/>
      <c r="N26" s="319"/>
    </row>
    <row r="27" spans="1:29" s="21" customFormat="1" x14ac:dyDescent="0.3">
      <c r="A27" s="424"/>
      <c r="B27" s="422" t="s">
        <v>83</v>
      </c>
      <c r="C27" s="434">
        <f>SUM(C22:C26)</f>
        <v>8127670.1099999994</v>
      </c>
      <c r="D27" s="434">
        <v>955207.32</v>
      </c>
      <c r="E27" s="434">
        <f>SUM(E22:E26)</f>
        <v>27000</v>
      </c>
      <c r="F27" s="435"/>
      <c r="G27" s="436"/>
      <c r="H27" s="436"/>
      <c r="I27" s="436"/>
      <c r="J27" s="436"/>
      <c r="K27" s="436"/>
      <c r="L27" s="436"/>
      <c r="M27" s="436"/>
      <c r="N27" s="437"/>
    </row>
    <row r="28" spans="1:29" ht="38.1" customHeight="1" x14ac:dyDescent="0.3">
      <c r="B28" s="438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319"/>
    </row>
    <row r="29" spans="1:29" ht="23.25" customHeight="1" thickBot="1" x14ac:dyDescent="0.35">
      <c r="A29"/>
      <c r="B29" s="320" t="s">
        <v>607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319"/>
    </row>
    <row r="30" spans="1:29" s="323" customFormat="1" ht="15" customHeight="1" thickBot="1" x14ac:dyDescent="0.35">
      <c r="A30" s="953"/>
      <c r="B30" s="955" t="s">
        <v>381</v>
      </c>
      <c r="C30" s="965" t="s">
        <v>37</v>
      </c>
      <c r="D30" s="966"/>
      <c r="E30" s="966"/>
      <c r="F30" s="966"/>
      <c r="G30" s="966"/>
      <c r="H30" s="966"/>
      <c r="I30" s="966"/>
      <c r="J30" s="966"/>
      <c r="K30" s="966"/>
      <c r="L30" s="966"/>
      <c r="M30" s="966"/>
      <c r="N30" s="966"/>
      <c r="O30" s="966"/>
      <c r="P30" s="966"/>
      <c r="Q30" s="966"/>
      <c r="R30" s="966"/>
      <c r="S30" s="966"/>
      <c r="T30" s="966"/>
      <c r="U30" s="966"/>
      <c r="V30" s="943" t="s">
        <v>38</v>
      </c>
      <c r="W30" s="967"/>
      <c r="X30" s="967"/>
      <c r="Y30" s="967"/>
      <c r="Z30" s="967"/>
      <c r="AA30" s="960"/>
      <c r="AB30" s="388"/>
      <c r="AC30" s="388"/>
    </row>
    <row r="31" spans="1:29" s="334" customFormat="1" ht="125.4" thickTop="1" thickBot="1" x14ac:dyDescent="0.35">
      <c r="A31" s="954"/>
      <c r="B31" s="956"/>
      <c r="C31" s="945" t="s">
        <v>41</v>
      </c>
      <c r="D31" s="945"/>
      <c r="E31" s="946"/>
      <c r="F31" s="947" t="s">
        <v>43</v>
      </c>
      <c r="G31" s="948"/>
      <c r="H31" s="949"/>
      <c r="I31" s="950" t="s">
        <v>382</v>
      </c>
      <c r="J31" s="951"/>
      <c r="K31" s="952"/>
      <c r="L31" s="968" t="s">
        <v>383</v>
      </c>
      <c r="M31" s="969"/>
      <c r="N31" s="970"/>
      <c r="O31" s="962" t="s">
        <v>384</v>
      </c>
      <c r="P31" s="963"/>
      <c r="Q31" s="964"/>
      <c r="R31" s="325" t="s">
        <v>426</v>
      </c>
      <c r="S31" s="326" t="s">
        <v>385</v>
      </c>
      <c r="T31" s="327" t="s">
        <v>386</v>
      </c>
      <c r="U31" s="328" t="s">
        <v>387</v>
      </c>
      <c r="V31" s="329" t="s">
        <v>388</v>
      </c>
      <c r="W31" s="330" t="s">
        <v>45</v>
      </c>
      <c r="X31" s="330" t="s">
        <v>46</v>
      </c>
      <c r="Y31" s="330" t="s">
        <v>389</v>
      </c>
      <c r="Z31" s="330" t="s">
        <v>390</v>
      </c>
      <c r="AA31" s="389" t="s">
        <v>391</v>
      </c>
      <c r="AB31" s="390"/>
      <c r="AC31" s="390"/>
    </row>
    <row r="32" spans="1:29" s="323" customFormat="1" ht="15" thickBot="1" x14ac:dyDescent="0.35">
      <c r="A32" s="335"/>
      <c r="B32" s="336" t="s">
        <v>392</v>
      </c>
      <c r="C32" s="337" t="s">
        <v>48</v>
      </c>
      <c r="D32" s="338" t="s">
        <v>393</v>
      </c>
      <c r="E32" s="338" t="s">
        <v>394</v>
      </c>
      <c r="F32" s="339" t="s">
        <v>48</v>
      </c>
      <c r="G32" s="338" t="s">
        <v>393</v>
      </c>
      <c r="H32" s="340" t="s">
        <v>394</v>
      </c>
      <c r="I32" s="341" t="s">
        <v>48</v>
      </c>
      <c r="J32" s="342" t="s">
        <v>393</v>
      </c>
      <c r="K32" s="343" t="s">
        <v>394</v>
      </c>
      <c r="L32" s="339" t="s">
        <v>48</v>
      </c>
      <c r="M32" s="321" t="s">
        <v>393</v>
      </c>
      <c r="N32" s="343" t="s">
        <v>394</v>
      </c>
      <c r="O32" s="339" t="s">
        <v>48</v>
      </c>
      <c r="P32" s="321" t="s">
        <v>393</v>
      </c>
      <c r="Q32" s="343" t="s">
        <v>394</v>
      </c>
      <c r="R32" s="342" t="s">
        <v>48</v>
      </c>
      <c r="S32" s="344" t="s">
        <v>48</v>
      </c>
      <c r="T32" s="345" t="s">
        <v>393</v>
      </c>
      <c r="U32" s="338" t="s">
        <v>394</v>
      </c>
      <c r="V32" s="339"/>
      <c r="W32" s="346"/>
      <c r="X32" s="346"/>
      <c r="Y32" s="346"/>
      <c r="Z32" s="346"/>
      <c r="AA32" s="343"/>
      <c r="AB32" s="388"/>
      <c r="AC32" s="388"/>
    </row>
    <row r="33" spans="1:27" s="358" customFormat="1" ht="36" customHeight="1" x14ac:dyDescent="0.3">
      <c r="A33" s="391">
        <v>1</v>
      </c>
      <c r="B33" s="392" t="s">
        <v>487</v>
      </c>
      <c r="C33" s="398">
        <v>15000</v>
      </c>
      <c r="D33" s="393">
        <v>10000</v>
      </c>
      <c r="E33" s="439">
        <v>0</v>
      </c>
      <c r="F33" s="394">
        <v>60000</v>
      </c>
      <c r="G33" s="394">
        <v>30000</v>
      </c>
      <c r="H33" s="439">
        <v>0</v>
      </c>
      <c r="I33" s="394">
        <v>20000</v>
      </c>
      <c r="J33" s="394">
        <v>6000</v>
      </c>
      <c r="K33" s="439">
        <v>0</v>
      </c>
      <c r="L33" s="440">
        <v>0</v>
      </c>
      <c r="M33" s="440">
        <v>0</v>
      </c>
      <c r="N33" s="440">
        <v>0</v>
      </c>
      <c r="O33" s="394">
        <v>2000</v>
      </c>
      <c r="P33" s="395">
        <v>0</v>
      </c>
      <c r="Q33" s="396">
        <v>0</v>
      </c>
      <c r="R33" s="397">
        <v>4000</v>
      </c>
      <c r="S33" s="395">
        <v>0</v>
      </c>
      <c r="T33" s="396">
        <v>0</v>
      </c>
      <c r="U33" s="397">
        <v>0</v>
      </c>
      <c r="V33" s="398">
        <v>3000</v>
      </c>
      <c r="W33" s="440">
        <v>0</v>
      </c>
      <c r="X33" s="440">
        <v>0</v>
      </c>
      <c r="Y33" s="440">
        <v>0</v>
      </c>
      <c r="Z33" s="439">
        <v>0</v>
      </c>
      <c r="AA33" s="399">
        <v>3000</v>
      </c>
    </row>
    <row r="34" spans="1:27" s="358" customFormat="1" ht="25.2" customHeight="1" x14ac:dyDescent="0.3">
      <c r="A34" s="441">
        <v>2</v>
      </c>
      <c r="B34" s="442" t="s">
        <v>488</v>
      </c>
      <c r="C34" s="443">
        <v>12000</v>
      </c>
      <c r="D34" s="444">
        <v>8000</v>
      </c>
      <c r="E34" s="445">
        <v>0</v>
      </c>
      <c r="F34" s="446">
        <v>20000</v>
      </c>
      <c r="G34" s="446">
        <v>10000</v>
      </c>
      <c r="H34" s="447">
        <v>0</v>
      </c>
      <c r="I34" s="448">
        <v>10000</v>
      </c>
      <c r="J34" s="448">
        <v>4000</v>
      </c>
      <c r="K34" s="447">
        <v>0</v>
      </c>
      <c r="L34" s="449">
        <v>0</v>
      </c>
      <c r="M34" s="449">
        <v>0</v>
      </c>
      <c r="N34" s="449">
        <v>0</v>
      </c>
      <c r="O34" s="448">
        <v>2000</v>
      </c>
      <c r="P34" s="450">
        <v>0</v>
      </c>
      <c r="Q34" s="451">
        <v>0</v>
      </c>
      <c r="R34" s="452">
        <v>2000</v>
      </c>
      <c r="S34" s="450">
        <v>0</v>
      </c>
      <c r="T34" s="451">
        <v>0</v>
      </c>
      <c r="U34" s="452">
        <v>0</v>
      </c>
      <c r="V34" s="443">
        <v>2000</v>
      </c>
      <c r="W34" s="453">
        <v>0</v>
      </c>
      <c r="X34" s="453">
        <v>0</v>
      </c>
      <c r="Y34" s="453">
        <v>0</v>
      </c>
      <c r="Z34" s="445">
        <v>0</v>
      </c>
      <c r="AA34" s="454">
        <v>2000</v>
      </c>
    </row>
    <row r="35" spans="1:27" s="32" customFormat="1" ht="13.8" x14ac:dyDescent="0.3"/>
  </sheetData>
  <mergeCells count="9">
    <mergeCell ref="A30:A31"/>
    <mergeCell ref="B30:B31"/>
    <mergeCell ref="C30:U30"/>
    <mergeCell ref="V30:AA30"/>
    <mergeCell ref="C31:E31"/>
    <mergeCell ref="F31:H31"/>
    <mergeCell ref="I31:K31"/>
    <mergeCell ref="L31:N31"/>
    <mergeCell ref="O31:Q31"/>
  </mergeCells>
  <pageMargins left="0.25" right="0.22" top="0.74803149606299213" bottom="0.74803149606299213" header="0.31496062992125984" footer="0.31496062992125984"/>
  <pageSetup paperSize="9" scale="3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1E983-AFEC-471E-88C3-1806040CCC7B}">
  <dimension ref="A2:S10"/>
  <sheetViews>
    <sheetView workbookViewId="0">
      <selection activeCell="F12" sqref="F12"/>
    </sheetView>
  </sheetViews>
  <sheetFormatPr defaultRowHeight="14.4" x14ac:dyDescent="0.3"/>
  <cols>
    <col min="1" max="1" width="8.88671875" style="24"/>
    <col min="2" max="2" width="12.88671875" style="24" customWidth="1"/>
    <col min="3" max="3" width="13" style="24" customWidth="1"/>
    <col min="4" max="4" width="19.44140625" style="24" customWidth="1"/>
    <col min="5" max="5" width="18" style="24" customWidth="1"/>
    <col min="6" max="6" width="4.44140625" style="24" customWidth="1"/>
    <col min="7" max="7" width="6" style="24" customWidth="1"/>
    <col min="8" max="8" width="6.33203125" style="24" customWidth="1"/>
    <col min="9" max="9" width="11" style="24" customWidth="1"/>
    <col min="10" max="10" width="8.88671875" style="24"/>
    <col min="11" max="11" width="7.109375" style="24" customWidth="1"/>
    <col min="12" max="12" width="4.109375" style="24" customWidth="1"/>
    <col min="13" max="13" width="4.44140625" style="24" customWidth="1"/>
    <col min="14" max="14" width="5.109375" style="24" customWidth="1"/>
    <col min="15" max="15" width="10.5546875" style="24" customWidth="1"/>
    <col min="16" max="16" width="14.44140625" style="24" customWidth="1"/>
    <col min="17" max="18" width="10.88671875" style="24" customWidth="1"/>
    <col min="19" max="19" width="8.88671875" style="24"/>
  </cols>
  <sheetData>
    <row r="2" spans="1:19" x14ac:dyDescent="0.3">
      <c r="A2" s="315"/>
      <c r="B2" s="359" t="s">
        <v>489</v>
      </c>
    </row>
    <row r="4" spans="1:19" ht="43.2" x14ac:dyDescent="0.3">
      <c r="A4" s="360" t="s">
        <v>137</v>
      </c>
      <c r="B4" s="361" t="s">
        <v>138</v>
      </c>
      <c r="C4" s="361" t="s">
        <v>139</v>
      </c>
      <c r="D4" s="361" t="s">
        <v>140</v>
      </c>
      <c r="E4" s="361" t="s">
        <v>141</v>
      </c>
      <c r="F4" s="361" t="s">
        <v>142</v>
      </c>
      <c r="G4" s="361" t="s">
        <v>143</v>
      </c>
      <c r="H4" s="361" t="s">
        <v>144</v>
      </c>
      <c r="I4" s="361" t="s">
        <v>145</v>
      </c>
      <c r="J4" s="361" t="s">
        <v>146</v>
      </c>
      <c r="K4" s="361" t="s">
        <v>147</v>
      </c>
      <c r="L4" s="361" t="s">
        <v>148</v>
      </c>
      <c r="M4" s="361" t="s">
        <v>149</v>
      </c>
      <c r="N4" s="361" t="s">
        <v>150</v>
      </c>
      <c r="O4" s="361" t="s">
        <v>151</v>
      </c>
      <c r="P4" s="361" t="s">
        <v>152</v>
      </c>
      <c r="Q4" s="361" t="s">
        <v>153</v>
      </c>
      <c r="R4" s="361" t="s">
        <v>154</v>
      </c>
      <c r="S4" s="361" t="s">
        <v>221</v>
      </c>
    </row>
    <row r="5" spans="1:19" ht="144" x14ac:dyDescent="0.3">
      <c r="A5" s="360">
        <v>1</v>
      </c>
      <c r="B5" s="363" t="s">
        <v>490</v>
      </c>
      <c r="C5" s="363" t="s">
        <v>156</v>
      </c>
      <c r="D5" s="363" t="s">
        <v>491</v>
      </c>
      <c r="E5" s="362" t="s">
        <v>492</v>
      </c>
      <c r="F5" s="363">
        <v>88</v>
      </c>
      <c r="G5" s="363">
        <v>2198</v>
      </c>
      <c r="H5" s="363">
        <v>9</v>
      </c>
      <c r="I5" s="363"/>
      <c r="J5" s="364">
        <v>30710</v>
      </c>
      <c r="K5" s="363">
        <v>2009</v>
      </c>
      <c r="L5" s="363" t="s">
        <v>159</v>
      </c>
      <c r="M5" s="363" t="s">
        <v>159</v>
      </c>
      <c r="N5" s="363" t="s">
        <v>159</v>
      </c>
      <c r="O5" s="366">
        <v>0</v>
      </c>
      <c r="P5" s="362" t="s">
        <v>493</v>
      </c>
      <c r="Q5" s="363" t="s">
        <v>159</v>
      </c>
      <c r="R5" s="363" t="s">
        <v>159</v>
      </c>
      <c r="S5" s="363" t="s">
        <v>159</v>
      </c>
    </row>
    <row r="6" spans="1:19" s="56" customFormat="1" ht="28.8" x14ac:dyDescent="0.3">
      <c r="A6" s="361">
        <v>2</v>
      </c>
      <c r="B6" s="362" t="s">
        <v>494</v>
      </c>
      <c r="C6" s="362" t="s">
        <v>252</v>
      </c>
      <c r="D6" s="362" t="s">
        <v>495</v>
      </c>
      <c r="E6" s="362" t="s">
        <v>496</v>
      </c>
      <c r="F6" s="362">
        <v>55</v>
      </c>
      <c r="G6" s="362">
        <v>1360</v>
      </c>
      <c r="H6" s="362">
        <v>2</v>
      </c>
      <c r="I6" s="362">
        <v>800</v>
      </c>
      <c r="J6" s="362">
        <v>9307</v>
      </c>
      <c r="K6" s="362">
        <v>2000</v>
      </c>
      <c r="L6" s="362" t="s">
        <v>159</v>
      </c>
      <c r="M6" s="362" t="s">
        <v>159</v>
      </c>
      <c r="N6" s="362" t="s">
        <v>159</v>
      </c>
      <c r="O6" s="408">
        <v>0.01</v>
      </c>
      <c r="P6" s="362" t="s">
        <v>453</v>
      </c>
      <c r="Q6" s="362" t="s">
        <v>159</v>
      </c>
      <c r="R6" s="362" t="s">
        <v>159</v>
      </c>
      <c r="S6" s="362" t="s">
        <v>160</v>
      </c>
    </row>
    <row r="10" spans="1:19" x14ac:dyDescent="0.3">
      <c r="J10" s="455"/>
    </row>
  </sheetData>
  <pageMargins left="0.7" right="0.7" top="0.75" bottom="0.75" header="0.3" footer="0.3"/>
  <pageSetup paperSize="9" scale="6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19359-567C-4986-8A17-424F867BA4A6}">
  <sheetPr>
    <pageSetUpPr fitToPage="1"/>
  </sheetPr>
  <dimension ref="A1:R35"/>
  <sheetViews>
    <sheetView topLeftCell="A22" zoomScale="85" zoomScaleNormal="85" workbookViewId="0">
      <selection activeCell="L43" sqref="L43"/>
    </sheetView>
  </sheetViews>
  <sheetFormatPr defaultRowHeight="14.4" x14ac:dyDescent="0.3"/>
  <cols>
    <col min="1" max="1" width="6.109375" customWidth="1"/>
    <col min="2" max="2" width="31" customWidth="1"/>
    <col min="3" max="3" width="15" customWidth="1"/>
    <col min="4" max="4" width="15.5546875" customWidth="1"/>
    <col min="5" max="5" width="14.5546875" customWidth="1"/>
    <col min="6" max="6" width="16.5546875" customWidth="1"/>
    <col min="7" max="7" width="14.5546875" customWidth="1"/>
    <col min="8" max="8" width="13.44140625" customWidth="1"/>
    <col min="9" max="9" width="13.5546875" customWidth="1"/>
    <col min="10" max="10" width="12.88671875" customWidth="1"/>
    <col min="11" max="11" width="13.5546875" customWidth="1"/>
    <col min="12" max="12" width="11.33203125" customWidth="1"/>
    <col min="13" max="13" width="11.88671875" customWidth="1"/>
    <col min="14" max="14" width="10.6640625" bestFit="1" customWidth="1"/>
    <col min="16" max="16" width="9.5546875" bestFit="1" customWidth="1"/>
    <col min="246" max="246" width="6.109375" customWidth="1"/>
    <col min="247" max="247" width="28.109375" customWidth="1"/>
    <col min="248" max="248" width="13.88671875" customWidth="1"/>
    <col min="249" max="249" width="14.5546875" customWidth="1"/>
    <col min="250" max="250" width="15.5546875" customWidth="1"/>
    <col min="251" max="251" width="14.5546875" customWidth="1"/>
    <col min="252" max="252" width="16.5546875" customWidth="1"/>
    <col min="253" max="253" width="14.5546875" customWidth="1"/>
    <col min="254" max="254" width="11.5546875" customWidth="1"/>
    <col min="255" max="255" width="12.88671875" customWidth="1"/>
    <col min="256" max="257" width="13.5546875" customWidth="1"/>
    <col min="258" max="258" width="13.44140625" bestFit="1" customWidth="1"/>
    <col min="502" max="502" width="6.109375" customWidth="1"/>
    <col min="503" max="503" width="28.109375" customWidth="1"/>
    <col min="504" max="504" width="13.88671875" customWidth="1"/>
    <col min="505" max="505" width="14.5546875" customWidth="1"/>
    <col min="506" max="506" width="15.5546875" customWidth="1"/>
    <col min="507" max="507" width="14.5546875" customWidth="1"/>
    <col min="508" max="508" width="16.5546875" customWidth="1"/>
    <col min="509" max="509" width="14.5546875" customWidth="1"/>
    <col min="510" max="510" width="11.5546875" customWidth="1"/>
    <col min="511" max="511" width="12.88671875" customWidth="1"/>
    <col min="512" max="513" width="13.5546875" customWidth="1"/>
    <col min="514" max="514" width="13.44140625" bestFit="1" customWidth="1"/>
    <col min="758" max="758" width="6.109375" customWidth="1"/>
    <col min="759" max="759" width="28.109375" customWidth="1"/>
    <col min="760" max="760" width="13.88671875" customWidth="1"/>
    <col min="761" max="761" width="14.5546875" customWidth="1"/>
    <col min="762" max="762" width="15.5546875" customWidth="1"/>
    <col min="763" max="763" width="14.5546875" customWidth="1"/>
    <col min="764" max="764" width="16.5546875" customWidth="1"/>
    <col min="765" max="765" width="14.5546875" customWidth="1"/>
    <col min="766" max="766" width="11.5546875" customWidth="1"/>
    <col min="767" max="767" width="12.88671875" customWidth="1"/>
    <col min="768" max="769" width="13.5546875" customWidth="1"/>
    <col min="770" max="770" width="13.44140625" bestFit="1" customWidth="1"/>
    <col min="1014" max="1014" width="6.109375" customWidth="1"/>
    <col min="1015" max="1015" width="28.109375" customWidth="1"/>
    <col min="1016" max="1016" width="13.88671875" customWidth="1"/>
    <col min="1017" max="1017" width="14.5546875" customWidth="1"/>
    <col min="1018" max="1018" width="15.5546875" customWidth="1"/>
    <col min="1019" max="1019" width="14.5546875" customWidth="1"/>
    <col min="1020" max="1020" width="16.5546875" customWidth="1"/>
    <col min="1021" max="1021" width="14.5546875" customWidth="1"/>
    <col min="1022" max="1022" width="11.5546875" customWidth="1"/>
    <col min="1023" max="1023" width="12.88671875" customWidth="1"/>
    <col min="1024" max="1025" width="13.5546875" customWidth="1"/>
    <col min="1026" max="1026" width="13.44140625" bestFit="1" customWidth="1"/>
    <col min="1270" max="1270" width="6.109375" customWidth="1"/>
    <col min="1271" max="1271" width="28.109375" customWidth="1"/>
    <col min="1272" max="1272" width="13.88671875" customWidth="1"/>
    <col min="1273" max="1273" width="14.5546875" customWidth="1"/>
    <col min="1274" max="1274" width="15.5546875" customWidth="1"/>
    <col min="1275" max="1275" width="14.5546875" customWidth="1"/>
    <col min="1276" max="1276" width="16.5546875" customWidth="1"/>
    <col min="1277" max="1277" width="14.5546875" customWidth="1"/>
    <col min="1278" max="1278" width="11.5546875" customWidth="1"/>
    <col min="1279" max="1279" width="12.88671875" customWidth="1"/>
    <col min="1280" max="1281" width="13.5546875" customWidth="1"/>
    <col min="1282" max="1282" width="13.44140625" bestFit="1" customWidth="1"/>
    <col min="1526" max="1526" width="6.109375" customWidth="1"/>
    <col min="1527" max="1527" width="28.109375" customWidth="1"/>
    <col min="1528" max="1528" width="13.88671875" customWidth="1"/>
    <col min="1529" max="1529" width="14.5546875" customWidth="1"/>
    <col min="1530" max="1530" width="15.5546875" customWidth="1"/>
    <col min="1531" max="1531" width="14.5546875" customWidth="1"/>
    <col min="1532" max="1532" width="16.5546875" customWidth="1"/>
    <col min="1533" max="1533" width="14.5546875" customWidth="1"/>
    <col min="1534" max="1534" width="11.5546875" customWidth="1"/>
    <col min="1535" max="1535" width="12.88671875" customWidth="1"/>
    <col min="1536" max="1537" width="13.5546875" customWidth="1"/>
    <col min="1538" max="1538" width="13.44140625" bestFit="1" customWidth="1"/>
    <col min="1782" max="1782" width="6.109375" customWidth="1"/>
    <col min="1783" max="1783" width="28.109375" customWidth="1"/>
    <col min="1784" max="1784" width="13.88671875" customWidth="1"/>
    <col min="1785" max="1785" width="14.5546875" customWidth="1"/>
    <col min="1786" max="1786" width="15.5546875" customWidth="1"/>
    <col min="1787" max="1787" width="14.5546875" customWidth="1"/>
    <col min="1788" max="1788" width="16.5546875" customWidth="1"/>
    <col min="1789" max="1789" width="14.5546875" customWidth="1"/>
    <col min="1790" max="1790" width="11.5546875" customWidth="1"/>
    <col min="1791" max="1791" width="12.88671875" customWidth="1"/>
    <col min="1792" max="1793" width="13.5546875" customWidth="1"/>
    <col min="1794" max="1794" width="13.44140625" bestFit="1" customWidth="1"/>
    <col min="2038" max="2038" width="6.109375" customWidth="1"/>
    <col min="2039" max="2039" width="28.109375" customWidth="1"/>
    <col min="2040" max="2040" width="13.88671875" customWidth="1"/>
    <col min="2041" max="2041" width="14.5546875" customWidth="1"/>
    <col min="2042" max="2042" width="15.5546875" customWidth="1"/>
    <col min="2043" max="2043" width="14.5546875" customWidth="1"/>
    <col min="2044" max="2044" width="16.5546875" customWidth="1"/>
    <col min="2045" max="2045" width="14.5546875" customWidth="1"/>
    <col min="2046" max="2046" width="11.5546875" customWidth="1"/>
    <col min="2047" max="2047" width="12.88671875" customWidth="1"/>
    <col min="2048" max="2049" width="13.5546875" customWidth="1"/>
    <col min="2050" max="2050" width="13.44140625" bestFit="1" customWidth="1"/>
    <col min="2294" max="2294" width="6.109375" customWidth="1"/>
    <col min="2295" max="2295" width="28.109375" customWidth="1"/>
    <col min="2296" max="2296" width="13.88671875" customWidth="1"/>
    <col min="2297" max="2297" width="14.5546875" customWidth="1"/>
    <col min="2298" max="2298" width="15.5546875" customWidth="1"/>
    <col min="2299" max="2299" width="14.5546875" customWidth="1"/>
    <col min="2300" max="2300" width="16.5546875" customWidth="1"/>
    <col min="2301" max="2301" width="14.5546875" customWidth="1"/>
    <col min="2302" max="2302" width="11.5546875" customWidth="1"/>
    <col min="2303" max="2303" width="12.88671875" customWidth="1"/>
    <col min="2304" max="2305" width="13.5546875" customWidth="1"/>
    <col min="2306" max="2306" width="13.44140625" bestFit="1" customWidth="1"/>
    <col min="2550" max="2550" width="6.109375" customWidth="1"/>
    <col min="2551" max="2551" width="28.109375" customWidth="1"/>
    <col min="2552" max="2552" width="13.88671875" customWidth="1"/>
    <col min="2553" max="2553" width="14.5546875" customWidth="1"/>
    <col min="2554" max="2554" width="15.5546875" customWidth="1"/>
    <col min="2555" max="2555" width="14.5546875" customWidth="1"/>
    <col min="2556" max="2556" width="16.5546875" customWidth="1"/>
    <col min="2557" max="2557" width="14.5546875" customWidth="1"/>
    <col min="2558" max="2558" width="11.5546875" customWidth="1"/>
    <col min="2559" max="2559" width="12.88671875" customWidth="1"/>
    <col min="2560" max="2561" width="13.5546875" customWidth="1"/>
    <col min="2562" max="2562" width="13.44140625" bestFit="1" customWidth="1"/>
    <col min="2806" max="2806" width="6.109375" customWidth="1"/>
    <col min="2807" max="2807" width="28.109375" customWidth="1"/>
    <col min="2808" max="2808" width="13.88671875" customWidth="1"/>
    <col min="2809" max="2809" width="14.5546875" customWidth="1"/>
    <col min="2810" max="2810" width="15.5546875" customWidth="1"/>
    <col min="2811" max="2811" width="14.5546875" customWidth="1"/>
    <col min="2812" max="2812" width="16.5546875" customWidth="1"/>
    <col min="2813" max="2813" width="14.5546875" customWidth="1"/>
    <col min="2814" max="2814" width="11.5546875" customWidth="1"/>
    <col min="2815" max="2815" width="12.88671875" customWidth="1"/>
    <col min="2816" max="2817" width="13.5546875" customWidth="1"/>
    <col min="2818" max="2818" width="13.44140625" bestFit="1" customWidth="1"/>
    <col min="3062" max="3062" width="6.109375" customWidth="1"/>
    <col min="3063" max="3063" width="28.109375" customWidth="1"/>
    <col min="3064" max="3064" width="13.88671875" customWidth="1"/>
    <col min="3065" max="3065" width="14.5546875" customWidth="1"/>
    <col min="3066" max="3066" width="15.5546875" customWidth="1"/>
    <col min="3067" max="3067" width="14.5546875" customWidth="1"/>
    <col min="3068" max="3068" width="16.5546875" customWidth="1"/>
    <col min="3069" max="3069" width="14.5546875" customWidth="1"/>
    <col min="3070" max="3070" width="11.5546875" customWidth="1"/>
    <col min="3071" max="3071" width="12.88671875" customWidth="1"/>
    <col min="3072" max="3073" width="13.5546875" customWidth="1"/>
    <col min="3074" max="3074" width="13.44140625" bestFit="1" customWidth="1"/>
    <col min="3318" max="3318" width="6.109375" customWidth="1"/>
    <col min="3319" max="3319" width="28.109375" customWidth="1"/>
    <col min="3320" max="3320" width="13.88671875" customWidth="1"/>
    <col min="3321" max="3321" width="14.5546875" customWidth="1"/>
    <col min="3322" max="3322" width="15.5546875" customWidth="1"/>
    <col min="3323" max="3323" width="14.5546875" customWidth="1"/>
    <col min="3324" max="3324" width="16.5546875" customWidth="1"/>
    <col min="3325" max="3325" width="14.5546875" customWidth="1"/>
    <col min="3326" max="3326" width="11.5546875" customWidth="1"/>
    <col min="3327" max="3327" width="12.88671875" customWidth="1"/>
    <col min="3328" max="3329" width="13.5546875" customWidth="1"/>
    <col min="3330" max="3330" width="13.44140625" bestFit="1" customWidth="1"/>
    <col min="3574" max="3574" width="6.109375" customWidth="1"/>
    <col min="3575" max="3575" width="28.109375" customWidth="1"/>
    <col min="3576" max="3576" width="13.88671875" customWidth="1"/>
    <col min="3577" max="3577" width="14.5546875" customWidth="1"/>
    <col min="3578" max="3578" width="15.5546875" customWidth="1"/>
    <col min="3579" max="3579" width="14.5546875" customWidth="1"/>
    <col min="3580" max="3580" width="16.5546875" customWidth="1"/>
    <col min="3581" max="3581" width="14.5546875" customWidth="1"/>
    <col min="3582" max="3582" width="11.5546875" customWidth="1"/>
    <col min="3583" max="3583" width="12.88671875" customWidth="1"/>
    <col min="3584" max="3585" width="13.5546875" customWidth="1"/>
    <col min="3586" max="3586" width="13.44140625" bestFit="1" customWidth="1"/>
    <col min="3830" max="3830" width="6.109375" customWidth="1"/>
    <col min="3831" max="3831" width="28.109375" customWidth="1"/>
    <col min="3832" max="3832" width="13.88671875" customWidth="1"/>
    <col min="3833" max="3833" width="14.5546875" customWidth="1"/>
    <col min="3834" max="3834" width="15.5546875" customWidth="1"/>
    <col min="3835" max="3835" width="14.5546875" customWidth="1"/>
    <col min="3836" max="3836" width="16.5546875" customWidth="1"/>
    <col min="3837" max="3837" width="14.5546875" customWidth="1"/>
    <col min="3838" max="3838" width="11.5546875" customWidth="1"/>
    <col min="3839" max="3839" width="12.88671875" customWidth="1"/>
    <col min="3840" max="3841" width="13.5546875" customWidth="1"/>
    <col min="3842" max="3842" width="13.44140625" bestFit="1" customWidth="1"/>
    <col min="4086" max="4086" width="6.109375" customWidth="1"/>
    <col min="4087" max="4087" width="28.109375" customWidth="1"/>
    <col min="4088" max="4088" width="13.88671875" customWidth="1"/>
    <col min="4089" max="4089" width="14.5546875" customWidth="1"/>
    <col min="4090" max="4090" width="15.5546875" customWidth="1"/>
    <col min="4091" max="4091" width="14.5546875" customWidth="1"/>
    <col min="4092" max="4092" width="16.5546875" customWidth="1"/>
    <col min="4093" max="4093" width="14.5546875" customWidth="1"/>
    <col min="4094" max="4094" width="11.5546875" customWidth="1"/>
    <col min="4095" max="4095" width="12.88671875" customWidth="1"/>
    <col min="4096" max="4097" width="13.5546875" customWidth="1"/>
    <col min="4098" max="4098" width="13.44140625" bestFit="1" customWidth="1"/>
    <col min="4342" max="4342" width="6.109375" customWidth="1"/>
    <col min="4343" max="4343" width="28.109375" customWidth="1"/>
    <col min="4344" max="4344" width="13.88671875" customWidth="1"/>
    <col min="4345" max="4345" width="14.5546875" customWidth="1"/>
    <col min="4346" max="4346" width="15.5546875" customWidth="1"/>
    <col min="4347" max="4347" width="14.5546875" customWidth="1"/>
    <col min="4348" max="4348" width="16.5546875" customWidth="1"/>
    <col min="4349" max="4349" width="14.5546875" customWidth="1"/>
    <col min="4350" max="4350" width="11.5546875" customWidth="1"/>
    <col min="4351" max="4351" width="12.88671875" customWidth="1"/>
    <col min="4352" max="4353" width="13.5546875" customWidth="1"/>
    <col min="4354" max="4354" width="13.44140625" bestFit="1" customWidth="1"/>
    <col min="4598" max="4598" width="6.109375" customWidth="1"/>
    <col min="4599" max="4599" width="28.109375" customWidth="1"/>
    <col min="4600" max="4600" width="13.88671875" customWidth="1"/>
    <col min="4601" max="4601" width="14.5546875" customWidth="1"/>
    <col min="4602" max="4602" width="15.5546875" customWidth="1"/>
    <col min="4603" max="4603" width="14.5546875" customWidth="1"/>
    <col min="4604" max="4604" width="16.5546875" customWidth="1"/>
    <col min="4605" max="4605" width="14.5546875" customWidth="1"/>
    <col min="4606" max="4606" width="11.5546875" customWidth="1"/>
    <col min="4607" max="4607" width="12.88671875" customWidth="1"/>
    <col min="4608" max="4609" width="13.5546875" customWidth="1"/>
    <col min="4610" max="4610" width="13.44140625" bestFit="1" customWidth="1"/>
    <col min="4854" max="4854" width="6.109375" customWidth="1"/>
    <col min="4855" max="4855" width="28.109375" customWidth="1"/>
    <col min="4856" max="4856" width="13.88671875" customWidth="1"/>
    <col min="4857" max="4857" width="14.5546875" customWidth="1"/>
    <col min="4858" max="4858" width="15.5546875" customWidth="1"/>
    <col min="4859" max="4859" width="14.5546875" customWidth="1"/>
    <col min="4860" max="4860" width="16.5546875" customWidth="1"/>
    <col min="4861" max="4861" width="14.5546875" customWidth="1"/>
    <col min="4862" max="4862" width="11.5546875" customWidth="1"/>
    <col min="4863" max="4863" width="12.88671875" customWidth="1"/>
    <col min="4864" max="4865" width="13.5546875" customWidth="1"/>
    <col min="4866" max="4866" width="13.44140625" bestFit="1" customWidth="1"/>
    <col min="5110" max="5110" width="6.109375" customWidth="1"/>
    <col min="5111" max="5111" width="28.109375" customWidth="1"/>
    <col min="5112" max="5112" width="13.88671875" customWidth="1"/>
    <col min="5113" max="5113" width="14.5546875" customWidth="1"/>
    <col min="5114" max="5114" width="15.5546875" customWidth="1"/>
    <col min="5115" max="5115" width="14.5546875" customWidth="1"/>
    <col min="5116" max="5116" width="16.5546875" customWidth="1"/>
    <col min="5117" max="5117" width="14.5546875" customWidth="1"/>
    <col min="5118" max="5118" width="11.5546875" customWidth="1"/>
    <col min="5119" max="5119" width="12.88671875" customWidth="1"/>
    <col min="5120" max="5121" width="13.5546875" customWidth="1"/>
    <col min="5122" max="5122" width="13.44140625" bestFit="1" customWidth="1"/>
    <col min="5366" max="5366" width="6.109375" customWidth="1"/>
    <col min="5367" max="5367" width="28.109375" customWidth="1"/>
    <col min="5368" max="5368" width="13.88671875" customWidth="1"/>
    <col min="5369" max="5369" width="14.5546875" customWidth="1"/>
    <col min="5370" max="5370" width="15.5546875" customWidth="1"/>
    <col min="5371" max="5371" width="14.5546875" customWidth="1"/>
    <col min="5372" max="5372" width="16.5546875" customWidth="1"/>
    <col min="5373" max="5373" width="14.5546875" customWidth="1"/>
    <col min="5374" max="5374" width="11.5546875" customWidth="1"/>
    <col min="5375" max="5375" width="12.88671875" customWidth="1"/>
    <col min="5376" max="5377" width="13.5546875" customWidth="1"/>
    <col min="5378" max="5378" width="13.44140625" bestFit="1" customWidth="1"/>
    <col min="5622" max="5622" width="6.109375" customWidth="1"/>
    <col min="5623" max="5623" width="28.109375" customWidth="1"/>
    <col min="5624" max="5624" width="13.88671875" customWidth="1"/>
    <col min="5625" max="5625" width="14.5546875" customWidth="1"/>
    <col min="5626" max="5626" width="15.5546875" customWidth="1"/>
    <col min="5627" max="5627" width="14.5546875" customWidth="1"/>
    <col min="5628" max="5628" width="16.5546875" customWidth="1"/>
    <col min="5629" max="5629" width="14.5546875" customWidth="1"/>
    <col min="5630" max="5630" width="11.5546875" customWidth="1"/>
    <col min="5631" max="5631" width="12.88671875" customWidth="1"/>
    <col min="5632" max="5633" width="13.5546875" customWidth="1"/>
    <col min="5634" max="5634" width="13.44140625" bestFit="1" customWidth="1"/>
    <col min="5878" max="5878" width="6.109375" customWidth="1"/>
    <col min="5879" max="5879" width="28.109375" customWidth="1"/>
    <col min="5880" max="5880" width="13.88671875" customWidth="1"/>
    <col min="5881" max="5881" width="14.5546875" customWidth="1"/>
    <col min="5882" max="5882" width="15.5546875" customWidth="1"/>
    <col min="5883" max="5883" width="14.5546875" customWidth="1"/>
    <col min="5884" max="5884" width="16.5546875" customWidth="1"/>
    <col min="5885" max="5885" width="14.5546875" customWidth="1"/>
    <col min="5886" max="5886" width="11.5546875" customWidth="1"/>
    <col min="5887" max="5887" width="12.88671875" customWidth="1"/>
    <col min="5888" max="5889" width="13.5546875" customWidth="1"/>
    <col min="5890" max="5890" width="13.44140625" bestFit="1" customWidth="1"/>
    <col min="6134" max="6134" width="6.109375" customWidth="1"/>
    <col min="6135" max="6135" width="28.109375" customWidth="1"/>
    <col min="6136" max="6136" width="13.88671875" customWidth="1"/>
    <col min="6137" max="6137" width="14.5546875" customWidth="1"/>
    <col min="6138" max="6138" width="15.5546875" customWidth="1"/>
    <col min="6139" max="6139" width="14.5546875" customWidth="1"/>
    <col min="6140" max="6140" width="16.5546875" customWidth="1"/>
    <col min="6141" max="6141" width="14.5546875" customWidth="1"/>
    <col min="6142" max="6142" width="11.5546875" customWidth="1"/>
    <col min="6143" max="6143" width="12.88671875" customWidth="1"/>
    <col min="6144" max="6145" width="13.5546875" customWidth="1"/>
    <col min="6146" max="6146" width="13.44140625" bestFit="1" customWidth="1"/>
    <col min="6390" max="6390" width="6.109375" customWidth="1"/>
    <col min="6391" max="6391" width="28.109375" customWidth="1"/>
    <col min="6392" max="6392" width="13.88671875" customWidth="1"/>
    <col min="6393" max="6393" width="14.5546875" customWidth="1"/>
    <col min="6394" max="6394" width="15.5546875" customWidth="1"/>
    <col min="6395" max="6395" width="14.5546875" customWidth="1"/>
    <col min="6396" max="6396" width="16.5546875" customWidth="1"/>
    <col min="6397" max="6397" width="14.5546875" customWidth="1"/>
    <col min="6398" max="6398" width="11.5546875" customWidth="1"/>
    <col min="6399" max="6399" width="12.88671875" customWidth="1"/>
    <col min="6400" max="6401" width="13.5546875" customWidth="1"/>
    <col min="6402" max="6402" width="13.44140625" bestFit="1" customWidth="1"/>
    <col min="6646" max="6646" width="6.109375" customWidth="1"/>
    <col min="6647" max="6647" width="28.109375" customWidth="1"/>
    <col min="6648" max="6648" width="13.88671875" customWidth="1"/>
    <col min="6649" max="6649" width="14.5546875" customWidth="1"/>
    <col min="6650" max="6650" width="15.5546875" customWidth="1"/>
    <col min="6651" max="6651" width="14.5546875" customWidth="1"/>
    <col min="6652" max="6652" width="16.5546875" customWidth="1"/>
    <col min="6653" max="6653" width="14.5546875" customWidth="1"/>
    <col min="6654" max="6654" width="11.5546875" customWidth="1"/>
    <col min="6655" max="6655" width="12.88671875" customWidth="1"/>
    <col min="6656" max="6657" width="13.5546875" customWidth="1"/>
    <col min="6658" max="6658" width="13.44140625" bestFit="1" customWidth="1"/>
    <col min="6902" max="6902" width="6.109375" customWidth="1"/>
    <col min="6903" max="6903" width="28.109375" customWidth="1"/>
    <col min="6904" max="6904" width="13.88671875" customWidth="1"/>
    <col min="6905" max="6905" width="14.5546875" customWidth="1"/>
    <col min="6906" max="6906" width="15.5546875" customWidth="1"/>
    <col min="6907" max="6907" width="14.5546875" customWidth="1"/>
    <col min="6908" max="6908" width="16.5546875" customWidth="1"/>
    <col min="6909" max="6909" width="14.5546875" customWidth="1"/>
    <col min="6910" max="6910" width="11.5546875" customWidth="1"/>
    <col min="6911" max="6911" width="12.88671875" customWidth="1"/>
    <col min="6912" max="6913" width="13.5546875" customWidth="1"/>
    <col min="6914" max="6914" width="13.44140625" bestFit="1" customWidth="1"/>
    <col min="7158" max="7158" width="6.109375" customWidth="1"/>
    <col min="7159" max="7159" width="28.109375" customWidth="1"/>
    <col min="7160" max="7160" width="13.88671875" customWidth="1"/>
    <col min="7161" max="7161" width="14.5546875" customWidth="1"/>
    <col min="7162" max="7162" width="15.5546875" customWidth="1"/>
    <col min="7163" max="7163" width="14.5546875" customWidth="1"/>
    <col min="7164" max="7164" width="16.5546875" customWidth="1"/>
    <col min="7165" max="7165" width="14.5546875" customWidth="1"/>
    <col min="7166" max="7166" width="11.5546875" customWidth="1"/>
    <col min="7167" max="7167" width="12.88671875" customWidth="1"/>
    <col min="7168" max="7169" width="13.5546875" customWidth="1"/>
    <col min="7170" max="7170" width="13.44140625" bestFit="1" customWidth="1"/>
    <col min="7414" max="7414" width="6.109375" customWidth="1"/>
    <col min="7415" max="7415" width="28.109375" customWidth="1"/>
    <col min="7416" max="7416" width="13.88671875" customWidth="1"/>
    <col min="7417" max="7417" width="14.5546875" customWidth="1"/>
    <col min="7418" max="7418" width="15.5546875" customWidth="1"/>
    <col min="7419" max="7419" width="14.5546875" customWidth="1"/>
    <col min="7420" max="7420" width="16.5546875" customWidth="1"/>
    <col min="7421" max="7421" width="14.5546875" customWidth="1"/>
    <col min="7422" max="7422" width="11.5546875" customWidth="1"/>
    <col min="7423" max="7423" width="12.88671875" customWidth="1"/>
    <col min="7424" max="7425" width="13.5546875" customWidth="1"/>
    <col min="7426" max="7426" width="13.44140625" bestFit="1" customWidth="1"/>
    <col min="7670" max="7670" width="6.109375" customWidth="1"/>
    <col min="7671" max="7671" width="28.109375" customWidth="1"/>
    <col min="7672" max="7672" width="13.88671875" customWidth="1"/>
    <col min="7673" max="7673" width="14.5546875" customWidth="1"/>
    <col min="7674" max="7674" width="15.5546875" customWidth="1"/>
    <col min="7675" max="7675" width="14.5546875" customWidth="1"/>
    <col min="7676" max="7676" width="16.5546875" customWidth="1"/>
    <col min="7677" max="7677" width="14.5546875" customWidth="1"/>
    <col min="7678" max="7678" width="11.5546875" customWidth="1"/>
    <col min="7679" max="7679" width="12.88671875" customWidth="1"/>
    <col min="7680" max="7681" width="13.5546875" customWidth="1"/>
    <col min="7682" max="7682" width="13.44140625" bestFit="1" customWidth="1"/>
    <col min="7926" max="7926" width="6.109375" customWidth="1"/>
    <col min="7927" max="7927" width="28.109375" customWidth="1"/>
    <col min="7928" max="7928" width="13.88671875" customWidth="1"/>
    <col min="7929" max="7929" width="14.5546875" customWidth="1"/>
    <col min="7930" max="7930" width="15.5546875" customWidth="1"/>
    <col min="7931" max="7931" width="14.5546875" customWidth="1"/>
    <col min="7932" max="7932" width="16.5546875" customWidth="1"/>
    <col min="7933" max="7933" width="14.5546875" customWidth="1"/>
    <col min="7934" max="7934" width="11.5546875" customWidth="1"/>
    <col min="7935" max="7935" width="12.88671875" customWidth="1"/>
    <col min="7936" max="7937" width="13.5546875" customWidth="1"/>
    <col min="7938" max="7938" width="13.44140625" bestFit="1" customWidth="1"/>
    <col min="8182" max="8182" width="6.109375" customWidth="1"/>
    <col min="8183" max="8183" width="28.109375" customWidth="1"/>
    <col min="8184" max="8184" width="13.88671875" customWidth="1"/>
    <col min="8185" max="8185" width="14.5546875" customWidth="1"/>
    <col min="8186" max="8186" width="15.5546875" customWidth="1"/>
    <col min="8187" max="8187" width="14.5546875" customWidth="1"/>
    <col min="8188" max="8188" width="16.5546875" customWidth="1"/>
    <col min="8189" max="8189" width="14.5546875" customWidth="1"/>
    <col min="8190" max="8190" width="11.5546875" customWidth="1"/>
    <col min="8191" max="8191" width="12.88671875" customWidth="1"/>
    <col min="8192" max="8193" width="13.5546875" customWidth="1"/>
    <col min="8194" max="8194" width="13.44140625" bestFit="1" customWidth="1"/>
    <col min="8438" max="8438" width="6.109375" customWidth="1"/>
    <col min="8439" max="8439" width="28.109375" customWidth="1"/>
    <col min="8440" max="8440" width="13.88671875" customWidth="1"/>
    <col min="8441" max="8441" width="14.5546875" customWidth="1"/>
    <col min="8442" max="8442" width="15.5546875" customWidth="1"/>
    <col min="8443" max="8443" width="14.5546875" customWidth="1"/>
    <col min="8444" max="8444" width="16.5546875" customWidth="1"/>
    <col min="8445" max="8445" width="14.5546875" customWidth="1"/>
    <col min="8446" max="8446" width="11.5546875" customWidth="1"/>
    <col min="8447" max="8447" width="12.88671875" customWidth="1"/>
    <col min="8448" max="8449" width="13.5546875" customWidth="1"/>
    <col min="8450" max="8450" width="13.44140625" bestFit="1" customWidth="1"/>
    <col min="8694" max="8694" width="6.109375" customWidth="1"/>
    <col min="8695" max="8695" width="28.109375" customWidth="1"/>
    <col min="8696" max="8696" width="13.88671875" customWidth="1"/>
    <col min="8697" max="8697" width="14.5546875" customWidth="1"/>
    <col min="8698" max="8698" width="15.5546875" customWidth="1"/>
    <col min="8699" max="8699" width="14.5546875" customWidth="1"/>
    <col min="8700" max="8700" width="16.5546875" customWidth="1"/>
    <col min="8701" max="8701" width="14.5546875" customWidth="1"/>
    <col min="8702" max="8702" width="11.5546875" customWidth="1"/>
    <col min="8703" max="8703" width="12.88671875" customWidth="1"/>
    <col min="8704" max="8705" width="13.5546875" customWidth="1"/>
    <col min="8706" max="8706" width="13.44140625" bestFit="1" customWidth="1"/>
    <col min="8950" max="8950" width="6.109375" customWidth="1"/>
    <col min="8951" max="8951" width="28.109375" customWidth="1"/>
    <col min="8952" max="8952" width="13.88671875" customWidth="1"/>
    <col min="8953" max="8953" width="14.5546875" customWidth="1"/>
    <col min="8954" max="8954" width="15.5546875" customWidth="1"/>
    <col min="8955" max="8955" width="14.5546875" customWidth="1"/>
    <col min="8956" max="8956" width="16.5546875" customWidth="1"/>
    <col min="8957" max="8957" width="14.5546875" customWidth="1"/>
    <col min="8958" max="8958" width="11.5546875" customWidth="1"/>
    <col min="8959" max="8959" width="12.88671875" customWidth="1"/>
    <col min="8960" max="8961" width="13.5546875" customWidth="1"/>
    <col min="8962" max="8962" width="13.44140625" bestFit="1" customWidth="1"/>
    <col min="9206" max="9206" width="6.109375" customWidth="1"/>
    <col min="9207" max="9207" width="28.109375" customWidth="1"/>
    <col min="9208" max="9208" width="13.88671875" customWidth="1"/>
    <col min="9209" max="9209" width="14.5546875" customWidth="1"/>
    <col min="9210" max="9210" width="15.5546875" customWidth="1"/>
    <col min="9211" max="9211" width="14.5546875" customWidth="1"/>
    <col min="9212" max="9212" width="16.5546875" customWidth="1"/>
    <col min="9213" max="9213" width="14.5546875" customWidth="1"/>
    <col min="9214" max="9214" width="11.5546875" customWidth="1"/>
    <col min="9215" max="9215" width="12.88671875" customWidth="1"/>
    <col min="9216" max="9217" width="13.5546875" customWidth="1"/>
    <col min="9218" max="9218" width="13.44140625" bestFit="1" customWidth="1"/>
    <col min="9462" max="9462" width="6.109375" customWidth="1"/>
    <col min="9463" max="9463" width="28.109375" customWidth="1"/>
    <col min="9464" max="9464" width="13.88671875" customWidth="1"/>
    <col min="9465" max="9465" width="14.5546875" customWidth="1"/>
    <col min="9466" max="9466" width="15.5546875" customWidth="1"/>
    <col min="9467" max="9467" width="14.5546875" customWidth="1"/>
    <col min="9468" max="9468" width="16.5546875" customWidth="1"/>
    <col min="9469" max="9469" width="14.5546875" customWidth="1"/>
    <col min="9470" max="9470" width="11.5546875" customWidth="1"/>
    <col min="9471" max="9471" width="12.88671875" customWidth="1"/>
    <col min="9472" max="9473" width="13.5546875" customWidth="1"/>
    <col min="9474" max="9474" width="13.44140625" bestFit="1" customWidth="1"/>
    <col min="9718" max="9718" width="6.109375" customWidth="1"/>
    <col min="9719" max="9719" width="28.109375" customWidth="1"/>
    <col min="9720" max="9720" width="13.88671875" customWidth="1"/>
    <col min="9721" max="9721" width="14.5546875" customWidth="1"/>
    <col min="9722" max="9722" width="15.5546875" customWidth="1"/>
    <col min="9723" max="9723" width="14.5546875" customWidth="1"/>
    <col min="9724" max="9724" width="16.5546875" customWidth="1"/>
    <col min="9725" max="9725" width="14.5546875" customWidth="1"/>
    <col min="9726" max="9726" width="11.5546875" customWidth="1"/>
    <col min="9727" max="9727" width="12.88671875" customWidth="1"/>
    <col min="9728" max="9729" width="13.5546875" customWidth="1"/>
    <col min="9730" max="9730" width="13.44140625" bestFit="1" customWidth="1"/>
    <col min="9974" max="9974" width="6.109375" customWidth="1"/>
    <col min="9975" max="9975" width="28.109375" customWidth="1"/>
    <col min="9976" max="9976" width="13.88671875" customWidth="1"/>
    <col min="9977" max="9977" width="14.5546875" customWidth="1"/>
    <col min="9978" max="9978" width="15.5546875" customWidth="1"/>
    <col min="9979" max="9979" width="14.5546875" customWidth="1"/>
    <col min="9980" max="9980" width="16.5546875" customWidth="1"/>
    <col min="9981" max="9981" width="14.5546875" customWidth="1"/>
    <col min="9982" max="9982" width="11.5546875" customWidth="1"/>
    <col min="9983" max="9983" width="12.88671875" customWidth="1"/>
    <col min="9984" max="9985" width="13.5546875" customWidth="1"/>
    <col min="9986" max="9986" width="13.44140625" bestFit="1" customWidth="1"/>
    <col min="10230" max="10230" width="6.109375" customWidth="1"/>
    <col min="10231" max="10231" width="28.109375" customWidth="1"/>
    <col min="10232" max="10232" width="13.88671875" customWidth="1"/>
    <col min="10233" max="10233" width="14.5546875" customWidth="1"/>
    <col min="10234" max="10234" width="15.5546875" customWidth="1"/>
    <col min="10235" max="10235" width="14.5546875" customWidth="1"/>
    <col min="10236" max="10236" width="16.5546875" customWidth="1"/>
    <col min="10237" max="10237" width="14.5546875" customWidth="1"/>
    <col min="10238" max="10238" width="11.5546875" customWidth="1"/>
    <col min="10239" max="10239" width="12.88671875" customWidth="1"/>
    <col min="10240" max="10241" width="13.5546875" customWidth="1"/>
    <col min="10242" max="10242" width="13.44140625" bestFit="1" customWidth="1"/>
    <col min="10486" max="10486" width="6.109375" customWidth="1"/>
    <col min="10487" max="10487" width="28.109375" customWidth="1"/>
    <col min="10488" max="10488" width="13.88671875" customWidth="1"/>
    <col min="10489" max="10489" width="14.5546875" customWidth="1"/>
    <col min="10490" max="10490" width="15.5546875" customWidth="1"/>
    <col min="10491" max="10491" width="14.5546875" customWidth="1"/>
    <col min="10492" max="10492" width="16.5546875" customWidth="1"/>
    <col min="10493" max="10493" width="14.5546875" customWidth="1"/>
    <col min="10494" max="10494" width="11.5546875" customWidth="1"/>
    <col min="10495" max="10495" width="12.88671875" customWidth="1"/>
    <col min="10496" max="10497" width="13.5546875" customWidth="1"/>
    <col min="10498" max="10498" width="13.44140625" bestFit="1" customWidth="1"/>
    <col min="10742" max="10742" width="6.109375" customWidth="1"/>
    <col min="10743" max="10743" width="28.109375" customWidth="1"/>
    <col min="10744" max="10744" width="13.88671875" customWidth="1"/>
    <col min="10745" max="10745" width="14.5546875" customWidth="1"/>
    <col min="10746" max="10746" width="15.5546875" customWidth="1"/>
    <col min="10747" max="10747" width="14.5546875" customWidth="1"/>
    <col min="10748" max="10748" width="16.5546875" customWidth="1"/>
    <col min="10749" max="10749" width="14.5546875" customWidth="1"/>
    <col min="10750" max="10750" width="11.5546875" customWidth="1"/>
    <col min="10751" max="10751" width="12.88671875" customWidth="1"/>
    <col min="10752" max="10753" width="13.5546875" customWidth="1"/>
    <col min="10754" max="10754" width="13.44140625" bestFit="1" customWidth="1"/>
    <col min="10998" max="10998" width="6.109375" customWidth="1"/>
    <col min="10999" max="10999" width="28.109375" customWidth="1"/>
    <col min="11000" max="11000" width="13.88671875" customWidth="1"/>
    <col min="11001" max="11001" width="14.5546875" customWidth="1"/>
    <col min="11002" max="11002" width="15.5546875" customWidth="1"/>
    <col min="11003" max="11003" width="14.5546875" customWidth="1"/>
    <col min="11004" max="11004" width="16.5546875" customWidth="1"/>
    <col min="11005" max="11005" width="14.5546875" customWidth="1"/>
    <col min="11006" max="11006" width="11.5546875" customWidth="1"/>
    <col min="11007" max="11007" width="12.88671875" customWidth="1"/>
    <col min="11008" max="11009" width="13.5546875" customWidth="1"/>
    <col min="11010" max="11010" width="13.44140625" bestFit="1" customWidth="1"/>
    <col min="11254" max="11254" width="6.109375" customWidth="1"/>
    <col min="11255" max="11255" width="28.109375" customWidth="1"/>
    <col min="11256" max="11256" width="13.88671875" customWidth="1"/>
    <col min="11257" max="11257" width="14.5546875" customWidth="1"/>
    <col min="11258" max="11258" width="15.5546875" customWidth="1"/>
    <col min="11259" max="11259" width="14.5546875" customWidth="1"/>
    <col min="11260" max="11260" width="16.5546875" customWidth="1"/>
    <col min="11261" max="11261" width="14.5546875" customWidth="1"/>
    <col min="11262" max="11262" width="11.5546875" customWidth="1"/>
    <col min="11263" max="11263" width="12.88671875" customWidth="1"/>
    <col min="11264" max="11265" width="13.5546875" customWidth="1"/>
    <col min="11266" max="11266" width="13.44140625" bestFit="1" customWidth="1"/>
    <col min="11510" max="11510" width="6.109375" customWidth="1"/>
    <col min="11511" max="11511" width="28.109375" customWidth="1"/>
    <col min="11512" max="11512" width="13.88671875" customWidth="1"/>
    <col min="11513" max="11513" width="14.5546875" customWidth="1"/>
    <col min="11514" max="11514" width="15.5546875" customWidth="1"/>
    <col min="11515" max="11515" width="14.5546875" customWidth="1"/>
    <col min="11516" max="11516" width="16.5546875" customWidth="1"/>
    <col min="11517" max="11517" width="14.5546875" customWidth="1"/>
    <col min="11518" max="11518" width="11.5546875" customWidth="1"/>
    <col min="11519" max="11519" width="12.88671875" customWidth="1"/>
    <col min="11520" max="11521" width="13.5546875" customWidth="1"/>
    <col min="11522" max="11522" width="13.44140625" bestFit="1" customWidth="1"/>
    <col min="11766" max="11766" width="6.109375" customWidth="1"/>
    <col min="11767" max="11767" width="28.109375" customWidth="1"/>
    <col min="11768" max="11768" width="13.88671875" customWidth="1"/>
    <col min="11769" max="11769" width="14.5546875" customWidth="1"/>
    <col min="11770" max="11770" width="15.5546875" customWidth="1"/>
    <col min="11771" max="11771" width="14.5546875" customWidth="1"/>
    <col min="11772" max="11772" width="16.5546875" customWidth="1"/>
    <col min="11773" max="11773" width="14.5546875" customWidth="1"/>
    <col min="11774" max="11774" width="11.5546875" customWidth="1"/>
    <col min="11775" max="11775" width="12.88671875" customWidth="1"/>
    <col min="11776" max="11777" width="13.5546875" customWidth="1"/>
    <col min="11778" max="11778" width="13.44140625" bestFit="1" customWidth="1"/>
    <col min="12022" max="12022" width="6.109375" customWidth="1"/>
    <col min="12023" max="12023" width="28.109375" customWidth="1"/>
    <col min="12024" max="12024" width="13.88671875" customWidth="1"/>
    <col min="12025" max="12025" width="14.5546875" customWidth="1"/>
    <col min="12026" max="12026" width="15.5546875" customWidth="1"/>
    <col min="12027" max="12027" width="14.5546875" customWidth="1"/>
    <col min="12028" max="12028" width="16.5546875" customWidth="1"/>
    <col min="12029" max="12029" width="14.5546875" customWidth="1"/>
    <col min="12030" max="12030" width="11.5546875" customWidth="1"/>
    <col min="12031" max="12031" width="12.88671875" customWidth="1"/>
    <col min="12032" max="12033" width="13.5546875" customWidth="1"/>
    <col min="12034" max="12034" width="13.44140625" bestFit="1" customWidth="1"/>
    <col min="12278" max="12278" width="6.109375" customWidth="1"/>
    <col min="12279" max="12279" width="28.109375" customWidth="1"/>
    <col min="12280" max="12280" width="13.88671875" customWidth="1"/>
    <col min="12281" max="12281" width="14.5546875" customWidth="1"/>
    <col min="12282" max="12282" width="15.5546875" customWidth="1"/>
    <col min="12283" max="12283" width="14.5546875" customWidth="1"/>
    <col min="12284" max="12284" width="16.5546875" customWidth="1"/>
    <col min="12285" max="12285" width="14.5546875" customWidth="1"/>
    <col min="12286" max="12286" width="11.5546875" customWidth="1"/>
    <col min="12287" max="12287" width="12.88671875" customWidth="1"/>
    <col min="12288" max="12289" width="13.5546875" customWidth="1"/>
    <col min="12290" max="12290" width="13.44140625" bestFit="1" customWidth="1"/>
    <col min="12534" max="12534" width="6.109375" customWidth="1"/>
    <col min="12535" max="12535" width="28.109375" customWidth="1"/>
    <col min="12536" max="12536" width="13.88671875" customWidth="1"/>
    <col min="12537" max="12537" width="14.5546875" customWidth="1"/>
    <col min="12538" max="12538" width="15.5546875" customWidth="1"/>
    <col min="12539" max="12539" width="14.5546875" customWidth="1"/>
    <col min="12540" max="12540" width="16.5546875" customWidth="1"/>
    <col min="12541" max="12541" width="14.5546875" customWidth="1"/>
    <col min="12542" max="12542" width="11.5546875" customWidth="1"/>
    <col min="12543" max="12543" width="12.88671875" customWidth="1"/>
    <col min="12544" max="12545" width="13.5546875" customWidth="1"/>
    <col min="12546" max="12546" width="13.44140625" bestFit="1" customWidth="1"/>
    <col min="12790" max="12790" width="6.109375" customWidth="1"/>
    <col min="12791" max="12791" width="28.109375" customWidth="1"/>
    <col min="12792" max="12792" width="13.88671875" customWidth="1"/>
    <col min="12793" max="12793" width="14.5546875" customWidth="1"/>
    <col min="12794" max="12794" width="15.5546875" customWidth="1"/>
    <col min="12795" max="12795" width="14.5546875" customWidth="1"/>
    <col min="12796" max="12796" width="16.5546875" customWidth="1"/>
    <col min="12797" max="12797" width="14.5546875" customWidth="1"/>
    <col min="12798" max="12798" width="11.5546875" customWidth="1"/>
    <col min="12799" max="12799" width="12.88671875" customWidth="1"/>
    <col min="12800" max="12801" width="13.5546875" customWidth="1"/>
    <col min="12802" max="12802" width="13.44140625" bestFit="1" customWidth="1"/>
    <col min="13046" max="13046" width="6.109375" customWidth="1"/>
    <col min="13047" max="13047" width="28.109375" customWidth="1"/>
    <col min="13048" max="13048" width="13.88671875" customWidth="1"/>
    <col min="13049" max="13049" width="14.5546875" customWidth="1"/>
    <col min="13050" max="13050" width="15.5546875" customWidth="1"/>
    <col min="13051" max="13051" width="14.5546875" customWidth="1"/>
    <col min="13052" max="13052" width="16.5546875" customWidth="1"/>
    <col min="13053" max="13053" width="14.5546875" customWidth="1"/>
    <col min="13054" max="13054" width="11.5546875" customWidth="1"/>
    <col min="13055" max="13055" width="12.88671875" customWidth="1"/>
    <col min="13056" max="13057" width="13.5546875" customWidth="1"/>
    <col min="13058" max="13058" width="13.44140625" bestFit="1" customWidth="1"/>
    <col min="13302" max="13302" width="6.109375" customWidth="1"/>
    <col min="13303" max="13303" width="28.109375" customWidth="1"/>
    <col min="13304" max="13304" width="13.88671875" customWidth="1"/>
    <col min="13305" max="13305" width="14.5546875" customWidth="1"/>
    <col min="13306" max="13306" width="15.5546875" customWidth="1"/>
    <col min="13307" max="13307" width="14.5546875" customWidth="1"/>
    <col min="13308" max="13308" width="16.5546875" customWidth="1"/>
    <col min="13309" max="13309" width="14.5546875" customWidth="1"/>
    <col min="13310" max="13310" width="11.5546875" customWidth="1"/>
    <col min="13311" max="13311" width="12.88671875" customWidth="1"/>
    <col min="13312" max="13313" width="13.5546875" customWidth="1"/>
    <col min="13314" max="13314" width="13.44140625" bestFit="1" customWidth="1"/>
    <col min="13558" max="13558" width="6.109375" customWidth="1"/>
    <col min="13559" max="13559" width="28.109375" customWidth="1"/>
    <col min="13560" max="13560" width="13.88671875" customWidth="1"/>
    <col min="13561" max="13561" width="14.5546875" customWidth="1"/>
    <col min="13562" max="13562" width="15.5546875" customWidth="1"/>
    <col min="13563" max="13563" width="14.5546875" customWidth="1"/>
    <col min="13564" max="13564" width="16.5546875" customWidth="1"/>
    <col min="13565" max="13565" width="14.5546875" customWidth="1"/>
    <col min="13566" max="13566" width="11.5546875" customWidth="1"/>
    <col min="13567" max="13567" width="12.88671875" customWidth="1"/>
    <col min="13568" max="13569" width="13.5546875" customWidth="1"/>
    <col min="13570" max="13570" width="13.44140625" bestFit="1" customWidth="1"/>
    <col min="13814" max="13814" width="6.109375" customWidth="1"/>
    <col min="13815" max="13815" width="28.109375" customWidth="1"/>
    <col min="13816" max="13816" width="13.88671875" customWidth="1"/>
    <col min="13817" max="13817" width="14.5546875" customWidth="1"/>
    <col min="13818" max="13818" width="15.5546875" customWidth="1"/>
    <col min="13819" max="13819" width="14.5546875" customWidth="1"/>
    <col min="13820" max="13820" width="16.5546875" customWidth="1"/>
    <col min="13821" max="13821" width="14.5546875" customWidth="1"/>
    <col min="13822" max="13822" width="11.5546875" customWidth="1"/>
    <col min="13823" max="13823" width="12.88671875" customWidth="1"/>
    <col min="13824" max="13825" width="13.5546875" customWidth="1"/>
    <col min="13826" max="13826" width="13.44140625" bestFit="1" customWidth="1"/>
    <col min="14070" max="14070" width="6.109375" customWidth="1"/>
    <col min="14071" max="14071" width="28.109375" customWidth="1"/>
    <col min="14072" max="14072" width="13.88671875" customWidth="1"/>
    <col min="14073" max="14073" width="14.5546875" customWidth="1"/>
    <col min="14074" max="14074" width="15.5546875" customWidth="1"/>
    <col min="14075" max="14075" width="14.5546875" customWidth="1"/>
    <col min="14076" max="14076" width="16.5546875" customWidth="1"/>
    <col min="14077" max="14077" width="14.5546875" customWidth="1"/>
    <col min="14078" max="14078" width="11.5546875" customWidth="1"/>
    <col min="14079" max="14079" width="12.88671875" customWidth="1"/>
    <col min="14080" max="14081" width="13.5546875" customWidth="1"/>
    <col min="14082" max="14082" width="13.44140625" bestFit="1" customWidth="1"/>
    <col min="14326" max="14326" width="6.109375" customWidth="1"/>
    <col min="14327" max="14327" width="28.109375" customWidth="1"/>
    <col min="14328" max="14328" width="13.88671875" customWidth="1"/>
    <col min="14329" max="14329" width="14.5546875" customWidth="1"/>
    <col min="14330" max="14330" width="15.5546875" customWidth="1"/>
    <col min="14331" max="14331" width="14.5546875" customWidth="1"/>
    <col min="14332" max="14332" width="16.5546875" customWidth="1"/>
    <col min="14333" max="14333" width="14.5546875" customWidth="1"/>
    <col min="14334" max="14334" width="11.5546875" customWidth="1"/>
    <col min="14335" max="14335" width="12.88671875" customWidth="1"/>
    <col min="14336" max="14337" width="13.5546875" customWidth="1"/>
    <col min="14338" max="14338" width="13.44140625" bestFit="1" customWidth="1"/>
    <col min="14582" max="14582" width="6.109375" customWidth="1"/>
    <col min="14583" max="14583" width="28.109375" customWidth="1"/>
    <col min="14584" max="14584" width="13.88671875" customWidth="1"/>
    <col min="14585" max="14585" width="14.5546875" customWidth="1"/>
    <col min="14586" max="14586" width="15.5546875" customWidth="1"/>
    <col min="14587" max="14587" width="14.5546875" customWidth="1"/>
    <col min="14588" max="14588" width="16.5546875" customWidth="1"/>
    <col min="14589" max="14589" width="14.5546875" customWidth="1"/>
    <col min="14590" max="14590" width="11.5546875" customWidth="1"/>
    <col min="14591" max="14591" width="12.88671875" customWidth="1"/>
    <col min="14592" max="14593" width="13.5546875" customWidth="1"/>
    <col min="14594" max="14594" width="13.44140625" bestFit="1" customWidth="1"/>
    <col min="14838" max="14838" width="6.109375" customWidth="1"/>
    <col min="14839" max="14839" width="28.109375" customWidth="1"/>
    <col min="14840" max="14840" width="13.88671875" customWidth="1"/>
    <col min="14841" max="14841" width="14.5546875" customWidth="1"/>
    <col min="14842" max="14842" width="15.5546875" customWidth="1"/>
    <col min="14843" max="14843" width="14.5546875" customWidth="1"/>
    <col min="14844" max="14844" width="16.5546875" customWidth="1"/>
    <col min="14845" max="14845" width="14.5546875" customWidth="1"/>
    <col min="14846" max="14846" width="11.5546875" customWidth="1"/>
    <col min="14847" max="14847" width="12.88671875" customWidth="1"/>
    <col min="14848" max="14849" width="13.5546875" customWidth="1"/>
    <col min="14850" max="14850" width="13.44140625" bestFit="1" customWidth="1"/>
    <col min="15094" max="15094" width="6.109375" customWidth="1"/>
    <col min="15095" max="15095" width="28.109375" customWidth="1"/>
    <col min="15096" max="15096" width="13.88671875" customWidth="1"/>
    <col min="15097" max="15097" width="14.5546875" customWidth="1"/>
    <col min="15098" max="15098" width="15.5546875" customWidth="1"/>
    <col min="15099" max="15099" width="14.5546875" customWidth="1"/>
    <col min="15100" max="15100" width="16.5546875" customWidth="1"/>
    <col min="15101" max="15101" width="14.5546875" customWidth="1"/>
    <col min="15102" max="15102" width="11.5546875" customWidth="1"/>
    <col min="15103" max="15103" width="12.88671875" customWidth="1"/>
    <col min="15104" max="15105" width="13.5546875" customWidth="1"/>
    <col min="15106" max="15106" width="13.44140625" bestFit="1" customWidth="1"/>
    <col min="15350" max="15350" width="6.109375" customWidth="1"/>
    <col min="15351" max="15351" width="28.109375" customWidth="1"/>
    <col min="15352" max="15352" width="13.88671875" customWidth="1"/>
    <col min="15353" max="15353" width="14.5546875" customWidth="1"/>
    <col min="15354" max="15354" width="15.5546875" customWidth="1"/>
    <col min="15355" max="15355" width="14.5546875" customWidth="1"/>
    <col min="15356" max="15356" width="16.5546875" customWidth="1"/>
    <col min="15357" max="15357" width="14.5546875" customWidth="1"/>
    <col min="15358" max="15358" width="11.5546875" customWidth="1"/>
    <col min="15359" max="15359" width="12.88671875" customWidth="1"/>
    <col min="15360" max="15361" width="13.5546875" customWidth="1"/>
    <col min="15362" max="15362" width="13.44140625" bestFit="1" customWidth="1"/>
    <col min="15606" max="15606" width="6.109375" customWidth="1"/>
    <col min="15607" max="15607" width="28.109375" customWidth="1"/>
    <col min="15608" max="15608" width="13.88671875" customWidth="1"/>
    <col min="15609" max="15609" width="14.5546875" customWidth="1"/>
    <col min="15610" max="15610" width="15.5546875" customWidth="1"/>
    <col min="15611" max="15611" width="14.5546875" customWidth="1"/>
    <col min="15612" max="15612" width="16.5546875" customWidth="1"/>
    <col min="15613" max="15613" width="14.5546875" customWidth="1"/>
    <col min="15614" max="15614" width="11.5546875" customWidth="1"/>
    <col min="15615" max="15615" width="12.88671875" customWidth="1"/>
    <col min="15616" max="15617" width="13.5546875" customWidth="1"/>
    <col min="15618" max="15618" width="13.44140625" bestFit="1" customWidth="1"/>
    <col min="15862" max="15862" width="6.109375" customWidth="1"/>
    <col min="15863" max="15863" width="28.109375" customWidth="1"/>
    <col min="15864" max="15864" width="13.88671875" customWidth="1"/>
    <col min="15865" max="15865" width="14.5546875" customWidth="1"/>
    <col min="15866" max="15866" width="15.5546875" customWidth="1"/>
    <col min="15867" max="15867" width="14.5546875" customWidth="1"/>
    <col min="15868" max="15868" width="16.5546875" customWidth="1"/>
    <col min="15869" max="15869" width="14.5546875" customWidth="1"/>
    <col min="15870" max="15870" width="11.5546875" customWidth="1"/>
    <col min="15871" max="15871" width="12.88671875" customWidth="1"/>
    <col min="15872" max="15873" width="13.5546875" customWidth="1"/>
    <col min="15874" max="15874" width="13.44140625" bestFit="1" customWidth="1"/>
    <col min="16118" max="16118" width="6.109375" customWidth="1"/>
    <col min="16119" max="16119" width="28.109375" customWidth="1"/>
    <col min="16120" max="16120" width="13.88671875" customWidth="1"/>
    <col min="16121" max="16121" width="14.5546875" customWidth="1"/>
    <col min="16122" max="16122" width="15.5546875" customWidth="1"/>
    <col min="16123" max="16123" width="14.5546875" customWidth="1"/>
    <col min="16124" max="16124" width="16.5546875" customWidth="1"/>
    <col min="16125" max="16125" width="14.5546875" customWidth="1"/>
    <col min="16126" max="16126" width="11.5546875" customWidth="1"/>
    <col min="16127" max="16127" width="12.88671875" customWidth="1"/>
    <col min="16128" max="16129" width="13.5546875" customWidth="1"/>
    <col min="16130" max="16130" width="13.44140625" bestFit="1" customWidth="1"/>
  </cols>
  <sheetData>
    <row r="1" spans="1:13" ht="18" x14ac:dyDescent="0.35">
      <c r="B1" s="299" t="s">
        <v>497</v>
      </c>
    </row>
    <row r="2" spans="1:13" ht="18" x14ac:dyDescent="0.35">
      <c r="B2" s="29" t="s">
        <v>498</v>
      </c>
    </row>
    <row r="4" spans="1:13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3" s="40" customFormat="1" x14ac:dyDescent="0.3">
      <c r="A5" s="33"/>
      <c r="B5" s="908" t="s">
        <v>357</v>
      </c>
      <c r="C5" s="34" t="s">
        <v>1</v>
      </c>
      <c r="D5" s="35" t="s">
        <v>2</v>
      </c>
      <c r="E5" s="36" t="s">
        <v>3</v>
      </c>
      <c r="F5" s="36" t="s">
        <v>4</v>
      </c>
      <c r="G5" s="36" t="s">
        <v>5</v>
      </c>
      <c r="H5" s="36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8"/>
    </row>
    <row r="6" spans="1:13" ht="104.4" customHeight="1" x14ac:dyDescent="0.3">
      <c r="A6" s="41" t="s">
        <v>189</v>
      </c>
      <c r="B6" s="909"/>
      <c r="C6" s="42" t="s">
        <v>190</v>
      </c>
      <c r="D6" s="36" t="s">
        <v>12</v>
      </c>
      <c r="E6" s="36" t="s">
        <v>13</v>
      </c>
      <c r="F6" s="36" t="s">
        <v>14</v>
      </c>
      <c r="G6" s="36" t="s">
        <v>15</v>
      </c>
      <c r="H6" s="36" t="s">
        <v>191</v>
      </c>
      <c r="I6" s="43" t="s">
        <v>17</v>
      </c>
      <c r="J6" s="43" t="s">
        <v>18</v>
      </c>
      <c r="K6" s="43" t="s">
        <v>19</v>
      </c>
      <c r="L6" s="43" t="s">
        <v>360</v>
      </c>
      <c r="M6" s="36" t="s">
        <v>193</v>
      </c>
    </row>
    <row r="7" spans="1:13" s="24" customFormat="1" ht="29.1" customHeight="1" x14ac:dyDescent="0.3">
      <c r="A7" s="456">
        <v>1</v>
      </c>
      <c r="B7" s="457" t="s">
        <v>499</v>
      </c>
      <c r="C7" s="474">
        <f>I18</f>
        <v>15505277.560000001</v>
      </c>
      <c r="D7" s="474">
        <f>E7+F7+G7+H7+I7+J7+K7+L7</f>
        <v>2277120.0099999998</v>
      </c>
      <c r="E7" s="475">
        <v>35754.870000000003</v>
      </c>
      <c r="F7" s="475">
        <v>1007098.28</v>
      </c>
      <c r="G7" s="475">
        <v>549426.75</v>
      </c>
      <c r="H7" s="475">
        <v>27676.61</v>
      </c>
      <c r="I7" s="475">
        <v>45463.5</v>
      </c>
      <c r="J7" s="475">
        <v>11594.42</v>
      </c>
      <c r="K7" s="475">
        <v>68019.570000000007</v>
      </c>
      <c r="L7" s="475">
        <v>532086.01</v>
      </c>
      <c r="M7" s="476">
        <v>116</v>
      </c>
    </row>
    <row r="8" spans="1:13" x14ac:dyDescent="0.3">
      <c r="A8" s="51"/>
      <c r="B8" s="52"/>
      <c r="C8" s="50"/>
      <c r="D8" s="49"/>
      <c r="E8" s="50"/>
      <c r="F8" s="50"/>
      <c r="G8" s="50"/>
      <c r="H8" s="50"/>
      <c r="I8" s="50"/>
      <c r="J8" s="50"/>
      <c r="K8" s="50"/>
      <c r="L8" s="50"/>
      <c r="M8" s="19"/>
    </row>
    <row r="9" spans="1:13" x14ac:dyDescent="0.3">
      <c r="A9" s="30"/>
      <c r="B9" s="30"/>
      <c r="C9" s="30"/>
      <c r="D9" s="55"/>
      <c r="E9" s="30"/>
      <c r="F9" s="30"/>
      <c r="G9" s="30"/>
      <c r="H9" s="30"/>
      <c r="I9" s="30"/>
      <c r="J9" s="30"/>
      <c r="K9" s="31"/>
    </row>
    <row r="10" spans="1:13" x14ac:dyDescent="0.3">
      <c r="A10" s="30"/>
      <c r="B10" s="30"/>
      <c r="C10" s="30"/>
      <c r="D10" s="55"/>
      <c r="E10" s="30"/>
      <c r="F10" s="30"/>
      <c r="G10" s="30"/>
      <c r="H10" s="30"/>
      <c r="I10" s="30"/>
      <c r="J10" s="30"/>
      <c r="K10" s="31"/>
    </row>
    <row r="11" spans="1:13" x14ac:dyDescent="0.3">
      <c r="A11" s="30"/>
      <c r="B11" s="95" t="s">
        <v>197</v>
      </c>
      <c r="C11" s="30"/>
      <c r="D11" s="30"/>
      <c r="E11" s="30"/>
      <c r="F11" s="30"/>
      <c r="G11" s="30"/>
      <c r="H11" s="30"/>
      <c r="I11" s="30"/>
      <c r="J11" s="95"/>
      <c r="K11" s="30"/>
    </row>
    <row r="12" spans="1:13" s="40" customFormat="1" ht="57.6" x14ac:dyDescent="0.3">
      <c r="A12" s="17" t="s">
        <v>189</v>
      </c>
      <c r="B12" s="23" t="s">
        <v>361</v>
      </c>
      <c r="C12" s="59" t="s">
        <v>199</v>
      </c>
      <c r="D12" s="59" t="s">
        <v>200</v>
      </c>
      <c r="E12" s="59" t="s">
        <v>201</v>
      </c>
      <c r="F12" s="59" t="s">
        <v>202</v>
      </c>
      <c r="G12" s="59" t="s">
        <v>53</v>
      </c>
      <c r="H12" s="59" t="s">
        <v>203</v>
      </c>
      <c r="I12" s="361" t="s">
        <v>204</v>
      </c>
      <c r="K12" s="89"/>
    </row>
    <row r="13" spans="1:13" s="24" customFormat="1" ht="28.8" x14ac:dyDescent="0.3">
      <c r="A13" s="360">
        <v>1</v>
      </c>
      <c r="B13" s="459" t="s">
        <v>500</v>
      </c>
      <c r="C13" s="361">
        <v>1978</v>
      </c>
      <c r="D13" s="361"/>
      <c r="E13" s="371"/>
      <c r="F13" s="371" t="s">
        <v>401</v>
      </c>
      <c r="G13" s="361">
        <v>4977</v>
      </c>
      <c r="H13" s="372">
        <v>3</v>
      </c>
      <c r="I13" s="407">
        <f>G13*1100</f>
        <v>5474700</v>
      </c>
      <c r="J13" s="1"/>
      <c r="K13" s="99"/>
    </row>
    <row r="14" spans="1:13" s="24" customFormat="1" ht="28.8" x14ac:dyDescent="0.3">
      <c r="A14" s="360">
        <v>2</v>
      </c>
      <c r="B14" s="459" t="s">
        <v>501</v>
      </c>
      <c r="C14" s="361">
        <v>2006</v>
      </c>
      <c r="D14" s="361"/>
      <c r="E14" s="361"/>
      <c r="F14" s="371" t="s">
        <v>401</v>
      </c>
      <c r="G14" s="361">
        <v>412</v>
      </c>
      <c r="H14" s="372">
        <v>2</v>
      </c>
      <c r="I14" s="407">
        <f>G14*1400</f>
        <v>576800</v>
      </c>
      <c r="J14" s="1"/>
    </row>
    <row r="15" spans="1:13" s="24" customFormat="1" ht="28.8" x14ac:dyDescent="0.3">
      <c r="A15" s="360">
        <v>3</v>
      </c>
      <c r="B15" s="459" t="s">
        <v>502</v>
      </c>
      <c r="C15" s="361">
        <v>1986</v>
      </c>
      <c r="D15" s="361">
        <v>2013</v>
      </c>
      <c r="E15" s="361"/>
      <c r="F15" s="371" t="s">
        <v>401</v>
      </c>
      <c r="G15" s="361">
        <v>3126</v>
      </c>
      <c r="H15" s="372">
        <v>2</v>
      </c>
      <c r="I15" s="407">
        <f>G15*1400</f>
        <v>4376400</v>
      </c>
      <c r="J15" s="1"/>
    </row>
    <row r="16" spans="1:13" s="24" customFormat="1" ht="43.2" x14ac:dyDescent="0.3">
      <c r="A16" s="360">
        <v>4</v>
      </c>
      <c r="B16" s="459" t="s">
        <v>503</v>
      </c>
      <c r="C16" s="361">
        <v>2017</v>
      </c>
      <c r="D16" s="361"/>
      <c r="E16" s="361"/>
      <c r="F16" s="371" t="s">
        <v>401</v>
      </c>
      <c r="G16" s="361">
        <v>6000</v>
      </c>
      <c r="H16" s="372">
        <v>1</v>
      </c>
      <c r="I16" s="407">
        <v>87777.56</v>
      </c>
      <c r="J16" s="1"/>
    </row>
    <row r="17" spans="1:18" s="1" customFormat="1" ht="28.8" x14ac:dyDescent="0.3">
      <c r="A17" s="360">
        <v>5</v>
      </c>
      <c r="B17" s="459" t="s">
        <v>504</v>
      </c>
      <c r="C17" s="361">
        <v>2005</v>
      </c>
      <c r="D17" s="361"/>
      <c r="E17" s="361"/>
      <c r="F17" s="371" t="s">
        <v>401</v>
      </c>
      <c r="G17" s="361">
        <v>3564</v>
      </c>
      <c r="H17" s="372">
        <v>1</v>
      </c>
      <c r="I17" s="407">
        <f>G17*1400</f>
        <v>4989600</v>
      </c>
    </row>
    <row r="18" spans="1:18" s="378" customFormat="1" x14ac:dyDescent="0.3">
      <c r="A18" s="460"/>
      <c r="B18" s="422" t="s">
        <v>83</v>
      </c>
      <c r="C18" s="424"/>
      <c r="D18" s="425"/>
      <c r="E18" s="424"/>
      <c r="F18" s="424"/>
      <c r="G18" s="424"/>
      <c r="H18" s="424"/>
      <c r="I18" s="477">
        <f>SUM(I13:I17)</f>
        <v>15505277.560000001</v>
      </c>
    </row>
    <row r="19" spans="1:18" s="1" customFormat="1" x14ac:dyDescent="0.3">
      <c r="A19"/>
      <c r="B19" s="56"/>
      <c r="C19"/>
      <c r="D19" s="56"/>
      <c r="E19"/>
      <c r="F19"/>
      <c r="G19"/>
      <c r="H19"/>
      <c r="I19"/>
      <c r="J19"/>
    </row>
    <row r="20" spans="1:18" s="1" customFormat="1" ht="28.2" x14ac:dyDescent="0.3">
      <c r="A20"/>
      <c r="B20" s="316" t="s">
        <v>372</v>
      </c>
      <c r="C20"/>
      <c r="D20" s="56"/>
      <c r="E20"/>
      <c r="F20"/>
      <c r="G20"/>
      <c r="H20"/>
      <c r="I20"/>
      <c r="J20"/>
    </row>
    <row r="21" spans="1:18" s="1" customFormat="1" ht="96.6" customHeight="1" x14ac:dyDescent="0.3">
      <c r="A21" s="41" t="s">
        <v>189</v>
      </c>
      <c r="B21" s="317" t="s">
        <v>373</v>
      </c>
      <c r="C21" s="36" t="s">
        <v>374</v>
      </c>
      <c r="D21" s="36" t="s">
        <v>375</v>
      </c>
      <c r="E21" s="36" t="s">
        <v>376</v>
      </c>
      <c r="F21" s="89"/>
      <c r="G21"/>
      <c r="H21"/>
      <c r="I21"/>
      <c r="J21"/>
    </row>
    <row r="22" spans="1:18" s="1" customFormat="1" x14ac:dyDescent="0.3">
      <c r="A22" s="461">
        <v>1</v>
      </c>
      <c r="B22" s="462" t="s">
        <v>499</v>
      </c>
      <c r="C22" s="463">
        <f>I13</f>
        <v>5474700</v>
      </c>
      <c r="D22" s="463">
        <v>1272238.06</v>
      </c>
      <c r="E22" s="971">
        <v>16631.810000000001</v>
      </c>
      <c r="F22" s="430"/>
      <c r="G22"/>
      <c r="H22"/>
      <c r="I22"/>
      <c r="J22"/>
    </row>
    <row r="23" spans="1:18" s="432" customFormat="1" ht="28.5" customHeight="1" x14ac:dyDescent="0.3">
      <c r="A23" s="461">
        <v>2</v>
      </c>
      <c r="B23" s="462" t="s">
        <v>505</v>
      </c>
      <c r="C23" s="463">
        <f>I14</f>
        <v>576800</v>
      </c>
      <c r="D23" s="463">
        <v>124410.19</v>
      </c>
      <c r="E23" s="972"/>
      <c r="F23" s="430"/>
      <c r="G23" s="431"/>
      <c r="H23" s="431"/>
      <c r="I23" s="431"/>
      <c r="J23" s="431"/>
      <c r="K23" s="431"/>
      <c r="L23" s="431"/>
      <c r="M23" s="431"/>
      <c r="N23" s="431"/>
      <c r="O23" s="431"/>
      <c r="P23" s="431"/>
    </row>
    <row r="24" spans="1:18" ht="17.399999999999999" customHeight="1" x14ac:dyDescent="0.3">
      <c r="A24" s="461">
        <v>3</v>
      </c>
      <c r="B24" s="464" t="s">
        <v>506</v>
      </c>
      <c r="C24" s="465">
        <f>I15</f>
        <v>4376400</v>
      </c>
      <c r="D24" s="465">
        <v>497065.86</v>
      </c>
      <c r="E24" s="465">
        <v>11044.8</v>
      </c>
      <c r="F24" s="433"/>
      <c r="G24" s="57"/>
      <c r="H24" s="57"/>
      <c r="I24" s="57"/>
      <c r="J24" s="57"/>
      <c r="K24" s="57"/>
    </row>
    <row r="25" spans="1:18" ht="17.399999999999999" customHeight="1" x14ac:dyDescent="0.3">
      <c r="A25" s="461">
        <v>4</v>
      </c>
      <c r="B25" s="464" t="s">
        <v>507</v>
      </c>
      <c r="C25" s="465">
        <v>87777.56</v>
      </c>
      <c r="D25" s="465"/>
      <c r="E25" s="465"/>
      <c r="F25" s="433"/>
      <c r="G25" s="57"/>
      <c r="H25" s="57"/>
      <c r="I25" s="57"/>
      <c r="J25" s="57"/>
      <c r="K25" s="57"/>
    </row>
    <row r="26" spans="1:18" ht="17.100000000000001" customHeight="1" x14ac:dyDescent="0.3">
      <c r="A26" s="461">
        <v>5</v>
      </c>
      <c r="B26" s="464" t="s">
        <v>508</v>
      </c>
      <c r="C26" s="465">
        <f>I17</f>
        <v>4989600</v>
      </c>
      <c r="D26" s="465">
        <v>319974.42</v>
      </c>
      <c r="E26" s="465"/>
      <c r="F26" s="433"/>
      <c r="G26" s="57"/>
      <c r="H26" s="57"/>
      <c r="I26" s="57"/>
      <c r="J26" s="57"/>
      <c r="K26" s="57"/>
    </row>
    <row r="27" spans="1:18" ht="16.5" customHeight="1" x14ac:dyDescent="0.3">
      <c r="A27" s="466"/>
      <c r="B27" s="467" t="s">
        <v>83</v>
      </c>
      <c r="C27" s="478">
        <f>SUM(C22:C26)</f>
        <v>15505277.560000001</v>
      </c>
      <c r="D27" s="478">
        <f>SUM(D22:D26)</f>
        <v>2213688.5299999998</v>
      </c>
      <c r="E27" s="478">
        <f>SUM(E22:E26)</f>
        <v>27676.61</v>
      </c>
      <c r="F27" s="57"/>
      <c r="G27" s="57"/>
      <c r="H27" s="57"/>
      <c r="I27" s="57"/>
      <c r="J27" s="57"/>
      <c r="K27" s="57"/>
    </row>
    <row r="28" spans="1:18" ht="38.1" customHeight="1" x14ac:dyDescent="0.3">
      <c r="B28" s="32"/>
      <c r="C28" s="57"/>
      <c r="D28" s="57"/>
      <c r="E28" s="57"/>
      <c r="F28" s="57"/>
      <c r="G28" s="57"/>
      <c r="H28" s="57"/>
      <c r="I28" s="57"/>
      <c r="J28" s="57"/>
      <c r="K28" s="57"/>
    </row>
    <row r="29" spans="1:18" ht="23.25" customHeight="1" thickBot="1" x14ac:dyDescent="0.35">
      <c r="B29" s="320" t="s">
        <v>607</v>
      </c>
      <c r="C29" s="57"/>
      <c r="D29" s="57"/>
      <c r="E29" s="57"/>
      <c r="F29" s="57"/>
      <c r="G29" s="57"/>
      <c r="H29" s="57"/>
      <c r="I29" s="57"/>
      <c r="J29" s="57"/>
      <c r="K29" s="57"/>
    </row>
    <row r="30" spans="1:18" s="323" customFormat="1" ht="15" customHeight="1" thickBot="1" x14ac:dyDescent="0.35">
      <c r="A30" s="953"/>
      <c r="B30" s="955" t="s">
        <v>381</v>
      </c>
      <c r="C30" s="957" t="s">
        <v>37</v>
      </c>
      <c r="D30" s="957"/>
      <c r="E30" s="958"/>
      <c r="F30" s="958"/>
      <c r="G30" s="958"/>
      <c r="H30" s="958"/>
      <c r="I30" s="958"/>
      <c r="J30" s="958"/>
      <c r="K30" s="958"/>
      <c r="L30" s="958"/>
      <c r="M30" s="959"/>
      <c r="N30" s="322"/>
      <c r="O30" s="973" t="s">
        <v>38</v>
      </c>
      <c r="P30" s="974"/>
      <c r="Q30" s="388"/>
      <c r="R30" s="388"/>
    </row>
    <row r="31" spans="1:18" s="334" customFormat="1" ht="111" thickBot="1" x14ac:dyDescent="0.35">
      <c r="A31" s="954"/>
      <c r="B31" s="956"/>
      <c r="C31" s="945" t="s">
        <v>41</v>
      </c>
      <c r="D31" s="945"/>
      <c r="E31" s="946"/>
      <c r="F31" s="947" t="s">
        <v>43</v>
      </c>
      <c r="G31" s="948"/>
      <c r="H31" s="949"/>
      <c r="I31" s="950" t="s">
        <v>382</v>
      </c>
      <c r="J31" s="951"/>
      <c r="K31" s="952"/>
      <c r="L31" s="324" t="s">
        <v>384</v>
      </c>
      <c r="M31" s="325" t="s">
        <v>509</v>
      </c>
      <c r="N31" s="326" t="s">
        <v>385</v>
      </c>
      <c r="O31" s="468" t="s">
        <v>388</v>
      </c>
      <c r="P31" s="469" t="s">
        <v>391</v>
      </c>
      <c r="Q31" s="390"/>
      <c r="R31" s="390"/>
    </row>
    <row r="32" spans="1:18" s="323" customFormat="1" ht="15" thickBot="1" x14ac:dyDescent="0.35">
      <c r="A32" s="335"/>
      <c r="B32" s="336" t="s">
        <v>392</v>
      </c>
      <c r="C32" s="337" t="s">
        <v>48</v>
      </c>
      <c r="D32" s="338" t="s">
        <v>393</v>
      </c>
      <c r="E32" s="338" t="s">
        <v>394</v>
      </c>
      <c r="F32" s="339" t="s">
        <v>48</v>
      </c>
      <c r="G32" s="338" t="s">
        <v>393</v>
      </c>
      <c r="H32" s="340" t="s">
        <v>394</v>
      </c>
      <c r="I32" s="341" t="s">
        <v>48</v>
      </c>
      <c r="J32" s="342" t="s">
        <v>393</v>
      </c>
      <c r="K32" s="343" t="s">
        <v>394</v>
      </c>
      <c r="L32" s="339" t="s">
        <v>48</v>
      </c>
      <c r="M32" s="342" t="s">
        <v>48</v>
      </c>
      <c r="N32" s="344" t="s">
        <v>48</v>
      </c>
      <c r="O32" s="339"/>
      <c r="P32" s="343"/>
      <c r="Q32" s="388"/>
      <c r="R32" s="388"/>
    </row>
    <row r="33" spans="1:16" s="32" customFormat="1" ht="27.6" thickBot="1" x14ac:dyDescent="0.35">
      <c r="A33" s="470"/>
      <c r="B33" s="471" t="s">
        <v>510</v>
      </c>
      <c r="C33" s="479">
        <v>100000</v>
      </c>
      <c r="D33" s="480">
        <v>50000</v>
      </c>
      <c r="E33" s="481">
        <v>0</v>
      </c>
      <c r="F33" s="480">
        <v>40000</v>
      </c>
      <c r="G33" s="480">
        <v>10000</v>
      </c>
      <c r="H33" s="481">
        <v>0</v>
      </c>
      <c r="I33" s="480">
        <v>30000</v>
      </c>
      <c r="J33" s="480">
        <v>10000</v>
      </c>
      <c r="K33" s="481">
        <v>0</v>
      </c>
      <c r="L33" s="480">
        <v>30000</v>
      </c>
      <c r="M33" s="480">
        <v>10000</v>
      </c>
      <c r="N33" s="481">
        <v>0</v>
      </c>
      <c r="O33" s="482">
        <v>5000</v>
      </c>
      <c r="P33" s="483">
        <v>3000</v>
      </c>
    </row>
    <row r="34" spans="1:16" s="458" customFormat="1" thickBot="1" x14ac:dyDescent="0.35">
      <c r="A34" s="472"/>
      <c r="B34" s="473" t="s">
        <v>511</v>
      </c>
      <c r="C34" s="484">
        <v>20000</v>
      </c>
      <c r="D34" s="485">
        <v>10000</v>
      </c>
      <c r="E34" s="481">
        <v>0</v>
      </c>
      <c r="F34" s="485">
        <v>30000</v>
      </c>
      <c r="G34" s="485">
        <v>10000</v>
      </c>
      <c r="H34" s="481">
        <v>0</v>
      </c>
      <c r="I34" s="485">
        <v>10000</v>
      </c>
      <c r="J34" s="485">
        <v>3000</v>
      </c>
      <c r="K34" s="481">
        <v>0</v>
      </c>
      <c r="L34" s="486">
        <v>5000</v>
      </c>
      <c r="M34" s="486">
        <v>2000</v>
      </c>
      <c r="N34" s="487">
        <v>0</v>
      </c>
      <c r="O34" s="488">
        <v>3000</v>
      </c>
      <c r="P34" s="489">
        <v>2000</v>
      </c>
    </row>
    <row r="35" spans="1:16" x14ac:dyDescent="0.3"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</sheetData>
  <mergeCells count="9">
    <mergeCell ref="O30:P30"/>
    <mergeCell ref="C31:E31"/>
    <mergeCell ref="F31:H31"/>
    <mergeCell ref="I31:K31"/>
    <mergeCell ref="B5:B6"/>
    <mergeCell ref="E22:E23"/>
    <mergeCell ref="A30:A31"/>
    <mergeCell ref="B30:B31"/>
    <mergeCell ref="C30:M30"/>
  </mergeCells>
  <pageMargins left="0.25" right="0.22" top="0.74803149606299213" bottom="0.74803149606299213" header="0.31496062992125984" footer="0.31496062992125984"/>
  <pageSetup paperSize="9" scale="7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01160-0748-4479-9176-AF894314C313}">
  <dimension ref="A2:S6"/>
  <sheetViews>
    <sheetView workbookViewId="0">
      <selection activeCell="L1" sqref="L1:L1048576"/>
    </sheetView>
  </sheetViews>
  <sheetFormatPr defaultRowHeight="14.4" x14ac:dyDescent="0.3"/>
  <cols>
    <col min="1" max="1" width="8.88671875" style="24"/>
    <col min="2" max="2" width="12.88671875" style="24" customWidth="1"/>
    <col min="3" max="3" width="13" style="24" customWidth="1"/>
    <col min="4" max="4" width="19.44140625" style="24" customWidth="1"/>
    <col min="5" max="5" width="18" style="24" customWidth="1"/>
    <col min="6" max="6" width="4.44140625" style="24" customWidth="1"/>
    <col min="7" max="7" width="6" style="24" customWidth="1"/>
    <col min="8" max="8" width="6.33203125" style="24" customWidth="1"/>
    <col min="9" max="10" width="8.88671875" style="24"/>
    <col min="11" max="11" width="7.109375" style="24" customWidth="1"/>
    <col min="12" max="12" width="4.109375" style="24" customWidth="1"/>
    <col min="13" max="13" width="4.44140625" style="24" customWidth="1"/>
    <col min="14" max="14" width="5.109375" style="24" customWidth="1"/>
    <col min="15" max="15" width="8.88671875" style="24"/>
    <col min="16" max="16" width="14.44140625" style="24" customWidth="1"/>
    <col min="17" max="18" width="10.88671875" style="24" customWidth="1"/>
    <col min="19" max="19" width="8.88671875" style="24"/>
  </cols>
  <sheetData>
    <row r="2" spans="1:19" x14ac:dyDescent="0.3">
      <c r="A2" s="315"/>
      <c r="B2" s="359" t="s">
        <v>512</v>
      </c>
    </row>
    <row r="4" spans="1:19" ht="43.2" x14ac:dyDescent="0.3">
      <c r="A4" s="360" t="s">
        <v>137</v>
      </c>
      <c r="B4" s="361" t="s">
        <v>138</v>
      </c>
      <c r="C4" s="361" t="s">
        <v>139</v>
      </c>
      <c r="D4" s="361" t="s">
        <v>140</v>
      </c>
      <c r="E4" s="361" t="s">
        <v>141</v>
      </c>
      <c r="F4" s="361" t="s">
        <v>142</v>
      </c>
      <c r="G4" s="361" t="s">
        <v>143</v>
      </c>
      <c r="H4" s="361" t="s">
        <v>144</v>
      </c>
      <c r="I4" s="361" t="s">
        <v>145</v>
      </c>
      <c r="J4" s="361" t="s">
        <v>146</v>
      </c>
      <c r="K4" s="361" t="s">
        <v>147</v>
      </c>
      <c r="L4" s="361" t="s">
        <v>148</v>
      </c>
      <c r="M4" s="361" t="s">
        <v>149</v>
      </c>
      <c r="N4" s="361" t="s">
        <v>150</v>
      </c>
      <c r="O4" s="361" t="s">
        <v>151</v>
      </c>
      <c r="P4" s="361" t="s">
        <v>152</v>
      </c>
      <c r="Q4" s="361" t="s">
        <v>153</v>
      </c>
      <c r="R4" s="361" t="s">
        <v>154</v>
      </c>
      <c r="S4" s="361" t="s">
        <v>221</v>
      </c>
    </row>
    <row r="5" spans="1:19" ht="43.2" x14ac:dyDescent="0.3">
      <c r="A5" s="360">
        <v>1</v>
      </c>
      <c r="B5" s="363" t="s">
        <v>513</v>
      </c>
      <c r="C5" s="363" t="s">
        <v>156</v>
      </c>
      <c r="D5" s="363" t="s">
        <v>514</v>
      </c>
      <c r="E5" s="362" t="s">
        <v>515</v>
      </c>
      <c r="F5" s="363">
        <v>84</v>
      </c>
      <c r="G5" s="363"/>
      <c r="H5" s="363">
        <v>9</v>
      </c>
      <c r="I5" s="363"/>
      <c r="J5" s="364">
        <v>27189</v>
      </c>
      <c r="K5" s="363">
        <v>2010</v>
      </c>
      <c r="L5" s="363" t="s">
        <v>159</v>
      </c>
      <c r="M5" s="363" t="s">
        <v>159</v>
      </c>
      <c r="N5" s="363" t="s">
        <v>159</v>
      </c>
      <c r="O5" s="366">
        <v>0.01</v>
      </c>
      <c r="P5" s="362" t="s">
        <v>516</v>
      </c>
      <c r="Q5" s="363" t="s">
        <v>159</v>
      </c>
      <c r="R5" s="363" t="s">
        <v>159</v>
      </c>
      <c r="S5" s="363" t="s">
        <v>160</v>
      </c>
    </row>
    <row r="6" spans="1:19" s="56" customFormat="1" ht="43.2" x14ac:dyDescent="0.3">
      <c r="A6" s="361">
        <v>2</v>
      </c>
      <c r="B6" s="362" t="s">
        <v>517</v>
      </c>
      <c r="C6" s="362" t="s">
        <v>252</v>
      </c>
      <c r="D6" s="362" t="s">
        <v>518</v>
      </c>
      <c r="E6" s="362" t="s">
        <v>519</v>
      </c>
      <c r="F6" s="362">
        <v>55</v>
      </c>
      <c r="G6" s="362"/>
      <c r="H6" s="362">
        <v>2</v>
      </c>
      <c r="I6" s="362">
        <v>741</v>
      </c>
      <c r="J6" s="407">
        <v>13330</v>
      </c>
      <c r="K6" s="362">
        <v>2013</v>
      </c>
      <c r="L6" s="363" t="s">
        <v>159</v>
      </c>
      <c r="M6" s="363" t="s">
        <v>159</v>
      </c>
      <c r="N6" s="363" t="s">
        <v>159</v>
      </c>
      <c r="O6" s="366">
        <v>0.01</v>
      </c>
      <c r="P6" s="362" t="s">
        <v>453</v>
      </c>
      <c r="Q6" s="362" t="s">
        <v>159</v>
      </c>
      <c r="R6" s="362" t="s">
        <v>159</v>
      </c>
      <c r="S6" s="362" t="s">
        <v>160</v>
      </c>
    </row>
  </sheetData>
  <pageMargins left="0.7" right="0.7" top="0.75" bottom="0.75" header="0.3" footer="0.3"/>
  <pageSetup paperSize="9" scale="6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CBBA3-E4FA-48FB-85F3-0257E51DEB7F}">
  <sheetPr>
    <pageSetUpPr fitToPage="1"/>
  </sheetPr>
  <dimension ref="A1:P20"/>
  <sheetViews>
    <sheetView topLeftCell="A7" zoomScale="85" zoomScaleNormal="85" workbookViewId="0">
      <selection activeCell="J30" sqref="J30"/>
    </sheetView>
  </sheetViews>
  <sheetFormatPr defaultRowHeight="14.4" x14ac:dyDescent="0.3"/>
  <cols>
    <col min="1" max="1" width="6.109375" customWidth="1"/>
    <col min="2" max="2" width="28.109375" customWidth="1"/>
    <col min="3" max="3" width="13.88671875" customWidth="1"/>
    <col min="4" max="4" width="15.5546875" customWidth="1"/>
    <col min="5" max="5" width="14.5546875" customWidth="1"/>
    <col min="6" max="6" width="16.5546875" customWidth="1"/>
    <col min="7" max="7" width="14.5546875" customWidth="1"/>
    <col min="8" max="8" width="13.44140625" customWidth="1"/>
    <col min="9" max="9" width="13.5546875" customWidth="1"/>
    <col min="10" max="10" width="12.88671875" customWidth="1"/>
    <col min="11" max="12" width="13.5546875" customWidth="1"/>
    <col min="13" max="13" width="13.44140625" bestFit="1" customWidth="1"/>
    <col min="16" max="16" width="16.44140625" customWidth="1"/>
    <col min="17" max="17" width="8.88671875" customWidth="1"/>
    <col min="26" max="26" width="9.5546875" bestFit="1" customWidth="1"/>
    <col min="256" max="256" width="6.109375" customWidth="1"/>
    <col min="257" max="257" width="28.109375" customWidth="1"/>
    <col min="258" max="258" width="13.88671875" customWidth="1"/>
    <col min="259" max="259" width="14.5546875" customWidth="1"/>
    <col min="260" max="260" width="15.5546875" customWidth="1"/>
    <col min="261" max="261" width="14.5546875" customWidth="1"/>
    <col min="262" max="262" width="16.5546875" customWidth="1"/>
    <col min="263" max="263" width="14.5546875" customWidth="1"/>
    <col min="264" max="264" width="11.5546875" customWidth="1"/>
    <col min="265" max="265" width="12.88671875" customWidth="1"/>
    <col min="266" max="267" width="13.5546875" customWidth="1"/>
    <col min="268" max="268" width="13.44140625" bestFit="1" customWidth="1"/>
    <col min="512" max="512" width="6.109375" customWidth="1"/>
    <col min="513" max="513" width="28.109375" customWidth="1"/>
    <col min="514" max="514" width="13.88671875" customWidth="1"/>
    <col min="515" max="515" width="14.5546875" customWidth="1"/>
    <col min="516" max="516" width="15.5546875" customWidth="1"/>
    <col min="517" max="517" width="14.5546875" customWidth="1"/>
    <col min="518" max="518" width="16.5546875" customWidth="1"/>
    <col min="519" max="519" width="14.5546875" customWidth="1"/>
    <col min="520" max="520" width="11.5546875" customWidth="1"/>
    <col min="521" max="521" width="12.88671875" customWidth="1"/>
    <col min="522" max="523" width="13.5546875" customWidth="1"/>
    <col min="524" max="524" width="13.44140625" bestFit="1" customWidth="1"/>
    <col min="768" max="768" width="6.109375" customWidth="1"/>
    <col min="769" max="769" width="28.109375" customWidth="1"/>
    <col min="770" max="770" width="13.88671875" customWidth="1"/>
    <col min="771" max="771" width="14.5546875" customWidth="1"/>
    <col min="772" max="772" width="15.5546875" customWidth="1"/>
    <col min="773" max="773" width="14.5546875" customWidth="1"/>
    <col min="774" max="774" width="16.5546875" customWidth="1"/>
    <col min="775" max="775" width="14.5546875" customWidth="1"/>
    <col min="776" max="776" width="11.5546875" customWidth="1"/>
    <col min="777" max="777" width="12.88671875" customWidth="1"/>
    <col min="778" max="779" width="13.5546875" customWidth="1"/>
    <col min="780" max="780" width="13.44140625" bestFit="1" customWidth="1"/>
    <col min="1024" max="1024" width="6.109375" customWidth="1"/>
    <col min="1025" max="1025" width="28.109375" customWidth="1"/>
    <col min="1026" max="1026" width="13.88671875" customWidth="1"/>
    <col min="1027" max="1027" width="14.5546875" customWidth="1"/>
    <col min="1028" max="1028" width="15.5546875" customWidth="1"/>
    <col min="1029" max="1029" width="14.5546875" customWidth="1"/>
    <col min="1030" max="1030" width="16.5546875" customWidth="1"/>
    <col min="1031" max="1031" width="14.5546875" customWidth="1"/>
    <col min="1032" max="1032" width="11.5546875" customWidth="1"/>
    <col min="1033" max="1033" width="12.88671875" customWidth="1"/>
    <col min="1034" max="1035" width="13.5546875" customWidth="1"/>
    <col min="1036" max="1036" width="13.44140625" bestFit="1" customWidth="1"/>
    <col min="1280" max="1280" width="6.109375" customWidth="1"/>
    <col min="1281" max="1281" width="28.109375" customWidth="1"/>
    <col min="1282" max="1282" width="13.88671875" customWidth="1"/>
    <col min="1283" max="1283" width="14.5546875" customWidth="1"/>
    <col min="1284" max="1284" width="15.5546875" customWidth="1"/>
    <col min="1285" max="1285" width="14.5546875" customWidth="1"/>
    <col min="1286" max="1286" width="16.5546875" customWidth="1"/>
    <col min="1287" max="1287" width="14.5546875" customWidth="1"/>
    <col min="1288" max="1288" width="11.5546875" customWidth="1"/>
    <col min="1289" max="1289" width="12.88671875" customWidth="1"/>
    <col min="1290" max="1291" width="13.5546875" customWidth="1"/>
    <col min="1292" max="1292" width="13.44140625" bestFit="1" customWidth="1"/>
    <col min="1536" max="1536" width="6.109375" customWidth="1"/>
    <col min="1537" max="1537" width="28.109375" customWidth="1"/>
    <col min="1538" max="1538" width="13.88671875" customWidth="1"/>
    <col min="1539" max="1539" width="14.5546875" customWidth="1"/>
    <col min="1540" max="1540" width="15.5546875" customWidth="1"/>
    <col min="1541" max="1541" width="14.5546875" customWidth="1"/>
    <col min="1542" max="1542" width="16.5546875" customWidth="1"/>
    <col min="1543" max="1543" width="14.5546875" customWidth="1"/>
    <col min="1544" max="1544" width="11.5546875" customWidth="1"/>
    <col min="1545" max="1545" width="12.88671875" customWidth="1"/>
    <col min="1546" max="1547" width="13.5546875" customWidth="1"/>
    <col min="1548" max="1548" width="13.44140625" bestFit="1" customWidth="1"/>
    <col min="1792" max="1792" width="6.109375" customWidth="1"/>
    <col min="1793" max="1793" width="28.109375" customWidth="1"/>
    <col min="1794" max="1794" width="13.88671875" customWidth="1"/>
    <col min="1795" max="1795" width="14.5546875" customWidth="1"/>
    <col min="1796" max="1796" width="15.5546875" customWidth="1"/>
    <col min="1797" max="1797" width="14.5546875" customWidth="1"/>
    <col min="1798" max="1798" width="16.5546875" customWidth="1"/>
    <col min="1799" max="1799" width="14.5546875" customWidth="1"/>
    <col min="1800" max="1800" width="11.5546875" customWidth="1"/>
    <col min="1801" max="1801" width="12.88671875" customWidth="1"/>
    <col min="1802" max="1803" width="13.5546875" customWidth="1"/>
    <col min="1804" max="1804" width="13.44140625" bestFit="1" customWidth="1"/>
    <col min="2048" max="2048" width="6.109375" customWidth="1"/>
    <col min="2049" max="2049" width="28.109375" customWidth="1"/>
    <col min="2050" max="2050" width="13.88671875" customWidth="1"/>
    <col min="2051" max="2051" width="14.5546875" customWidth="1"/>
    <col min="2052" max="2052" width="15.5546875" customWidth="1"/>
    <col min="2053" max="2053" width="14.5546875" customWidth="1"/>
    <col min="2054" max="2054" width="16.5546875" customWidth="1"/>
    <col min="2055" max="2055" width="14.5546875" customWidth="1"/>
    <col min="2056" max="2056" width="11.5546875" customWidth="1"/>
    <col min="2057" max="2057" width="12.88671875" customWidth="1"/>
    <col min="2058" max="2059" width="13.5546875" customWidth="1"/>
    <col min="2060" max="2060" width="13.44140625" bestFit="1" customWidth="1"/>
    <col min="2304" max="2304" width="6.109375" customWidth="1"/>
    <col min="2305" max="2305" width="28.109375" customWidth="1"/>
    <col min="2306" max="2306" width="13.88671875" customWidth="1"/>
    <col min="2307" max="2307" width="14.5546875" customWidth="1"/>
    <col min="2308" max="2308" width="15.5546875" customWidth="1"/>
    <col min="2309" max="2309" width="14.5546875" customWidth="1"/>
    <col min="2310" max="2310" width="16.5546875" customWidth="1"/>
    <col min="2311" max="2311" width="14.5546875" customWidth="1"/>
    <col min="2312" max="2312" width="11.5546875" customWidth="1"/>
    <col min="2313" max="2313" width="12.88671875" customWidth="1"/>
    <col min="2314" max="2315" width="13.5546875" customWidth="1"/>
    <col min="2316" max="2316" width="13.44140625" bestFit="1" customWidth="1"/>
    <col min="2560" max="2560" width="6.109375" customWidth="1"/>
    <col min="2561" max="2561" width="28.109375" customWidth="1"/>
    <col min="2562" max="2562" width="13.88671875" customWidth="1"/>
    <col min="2563" max="2563" width="14.5546875" customWidth="1"/>
    <col min="2564" max="2564" width="15.5546875" customWidth="1"/>
    <col min="2565" max="2565" width="14.5546875" customWidth="1"/>
    <col min="2566" max="2566" width="16.5546875" customWidth="1"/>
    <col min="2567" max="2567" width="14.5546875" customWidth="1"/>
    <col min="2568" max="2568" width="11.5546875" customWidth="1"/>
    <col min="2569" max="2569" width="12.88671875" customWidth="1"/>
    <col min="2570" max="2571" width="13.5546875" customWidth="1"/>
    <col min="2572" max="2572" width="13.44140625" bestFit="1" customWidth="1"/>
    <col min="2816" max="2816" width="6.109375" customWidth="1"/>
    <col min="2817" max="2817" width="28.109375" customWidth="1"/>
    <col min="2818" max="2818" width="13.88671875" customWidth="1"/>
    <col min="2819" max="2819" width="14.5546875" customWidth="1"/>
    <col min="2820" max="2820" width="15.5546875" customWidth="1"/>
    <col min="2821" max="2821" width="14.5546875" customWidth="1"/>
    <col min="2822" max="2822" width="16.5546875" customWidth="1"/>
    <col min="2823" max="2823" width="14.5546875" customWidth="1"/>
    <col min="2824" max="2824" width="11.5546875" customWidth="1"/>
    <col min="2825" max="2825" width="12.88671875" customWidth="1"/>
    <col min="2826" max="2827" width="13.5546875" customWidth="1"/>
    <col min="2828" max="2828" width="13.44140625" bestFit="1" customWidth="1"/>
    <col min="3072" max="3072" width="6.109375" customWidth="1"/>
    <col min="3073" max="3073" width="28.109375" customWidth="1"/>
    <col min="3074" max="3074" width="13.88671875" customWidth="1"/>
    <col min="3075" max="3075" width="14.5546875" customWidth="1"/>
    <col min="3076" max="3076" width="15.5546875" customWidth="1"/>
    <col min="3077" max="3077" width="14.5546875" customWidth="1"/>
    <col min="3078" max="3078" width="16.5546875" customWidth="1"/>
    <col min="3079" max="3079" width="14.5546875" customWidth="1"/>
    <col min="3080" max="3080" width="11.5546875" customWidth="1"/>
    <col min="3081" max="3081" width="12.88671875" customWidth="1"/>
    <col min="3082" max="3083" width="13.5546875" customWidth="1"/>
    <col min="3084" max="3084" width="13.44140625" bestFit="1" customWidth="1"/>
    <col min="3328" max="3328" width="6.109375" customWidth="1"/>
    <col min="3329" max="3329" width="28.109375" customWidth="1"/>
    <col min="3330" max="3330" width="13.88671875" customWidth="1"/>
    <col min="3331" max="3331" width="14.5546875" customWidth="1"/>
    <col min="3332" max="3332" width="15.5546875" customWidth="1"/>
    <col min="3333" max="3333" width="14.5546875" customWidth="1"/>
    <col min="3334" max="3334" width="16.5546875" customWidth="1"/>
    <col min="3335" max="3335" width="14.5546875" customWidth="1"/>
    <col min="3336" max="3336" width="11.5546875" customWidth="1"/>
    <col min="3337" max="3337" width="12.88671875" customWidth="1"/>
    <col min="3338" max="3339" width="13.5546875" customWidth="1"/>
    <col min="3340" max="3340" width="13.44140625" bestFit="1" customWidth="1"/>
    <col min="3584" max="3584" width="6.109375" customWidth="1"/>
    <col min="3585" max="3585" width="28.109375" customWidth="1"/>
    <col min="3586" max="3586" width="13.88671875" customWidth="1"/>
    <col min="3587" max="3587" width="14.5546875" customWidth="1"/>
    <col min="3588" max="3588" width="15.5546875" customWidth="1"/>
    <col min="3589" max="3589" width="14.5546875" customWidth="1"/>
    <col min="3590" max="3590" width="16.5546875" customWidth="1"/>
    <col min="3591" max="3591" width="14.5546875" customWidth="1"/>
    <col min="3592" max="3592" width="11.5546875" customWidth="1"/>
    <col min="3593" max="3593" width="12.88671875" customWidth="1"/>
    <col min="3594" max="3595" width="13.5546875" customWidth="1"/>
    <col min="3596" max="3596" width="13.44140625" bestFit="1" customWidth="1"/>
    <col min="3840" max="3840" width="6.109375" customWidth="1"/>
    <col min="3841" max="3841" width="28.109375" customWidth="1"/>
    <col min="3842" max="3842" width="13.88671875" customWidth="1"/>
    <col min="3843" max="3843" width="14.5546875" customWidth="1"/>
    <col min="3844" max="3844" width="15.5546875" customWidth="1"/>
    <col min="3845" max="3845" width="14.5546875" customWidth="1"/>
    <col min="3846" max="3846" width="16.5546875" customWidth="1"/>
    <col min="3847" max="3847" width="14.5546875" customWidth="1"/>
    <col min="3848" max="3848" width="11.5546875" customWidth="1"/>
    <col min="3849" max="3849" width="12.88671875" customWidth="1"/>
    <col min="3850" max="3851" width="13.5546875" customWidth="1"/>
    <col min="3852" max="3852" width="13.44140625" bestFit="1" customWidth="1"/>
    <col min="4096" max="4096" width="6.109375" customWidth="1"/>
    <col min="4097" max="4097" width="28.109375" customWidth="1"/>
    <col min="4098" max="4098" width="13.88671875" customWidth="1"/>
    <col min="4099" max="4099" width="14.5546875" customWidth="1"/>
    <col min="4100" max="4100" width="15.5546875" customWidth="1"/>
    <col min="4101" max="4101" width="14.5546875" customWidth="1"/>
    <col min="4102" max="4102" width="16.5546875" customWidth="1"/>
    <col min="4103" max="4103" width="14.5546875" customWidth="1"/>
    <col min="4104" max="4104" width="11.5546875" customWidth="1"/>
    <col min="4105" max="4105" width="12.88671875" customWidth="1"/>
    <col min="4106" max="4107" width="13.5546875" customWidth="1"/>
    <col min="4108" max="4108" width="13.44140625" bestFit="1" customWidth="1"/>
    <col min="4352" max="4352" width="6.109375" customWidth="1"/>
    <col min="4353" max="4353" width="28.109375" customWidth="1"/>
    <col min="4354" max="4354" width="13.88671875" customWidth="1"/>
    <col min="4355" max="4355" width="14.5546875" customWidth="1"/>
    <col min="4356" max="4356" width="15.5546875" customWidth="1"/>
    <col min="4357" max="4357" width="14.5546875" customWidth="1"/>
    <col min="4358" max="4358" width="16.5546875" customWidth="1"/>
    <col min="4359" max="4359" width="14.5546875" customWidth="1"/>
    <col min="4360" max="4360" width="11.5546875" customWidth="1"/>
    <col min="4361" max="4361" width="12.88671875" customWidth="1"/>
    <col min="4362" max="4363" width="13.5546875" customWidth="1"/>
    <col min="4364" max="4364" width="13.44140625" bestFit="1" customWidth="1"/>
    <col min="4608" max="4608" width="6.109375" customWidth="1"/>
    <col min="4609" max="4609" width="28.109375" customWidth="1"/>
    <col min="4610" max="4610" width="13.88671875" customWidth="1"/>
    <col min="4611" max="4611" width="14.5546875" customWidth="1"/>
    <col min="4612" max="4612" width="15.5546875" customWidth="1"/>
    <col min="4613" max="4613" width="14.5546875" customWidth="1"/>
    <col min="4614" max="4614" width="16.5546875" customWidth="1"/>
    <col min="4615" max="4615" width="14.5546875" customWidth="1"/>
    <col min="4616" max="4616" width="11.5546875" customWidth="1"/>
    <col min="4617" max="4617" width="12.88671875" customWidth="1"/>
    <col min="4618" max="4619" width="13.5546875" customWidth="1"/>
    <col min="4620" max="4620" width="13.44140625" bestFit="1" customWidth="1"/>
    <col min="4864" max="4864" width="6.109375" customWidth="1"/>
    <col min="4865" max="4865" width="28.109375" customWidth="1"/>
    <col min="4866" max="4866" width="13.88671875" customWidth="1"/>
    <col min="4867" max="4867" width="14.5546875" customWidth="1"/>
    <col min="4868" max="4868" width="15.5546875" customWidth="1"/>
    <col min="4869" max="4869" width="14.5546875" customWidth="1"/>
    <col min="4870" max="4870" width="16.5546875" customWidth="1"/>
    <col min="4871" max="4871" width="14.5546875" customWidth="1"/>
    <col min="4872" max="4872" width="11.5546875" customWidth="1"/>
    <col min="4873" max="4873" width="12.88671875" customWidth="1"/>
    <col min="4874" max="4875" width="13.5546875" customWidth="1"/>
    <col min="4876" max="4876" width="13.44140625" bestFit="1" customWidth="1"/>
    <col min="5120" max="5120" width="6.109375" customWidth="1"/>
    <col min="5121" max="5121" width="28.109375" customWidth="1"/>
    <col min="5122" max="5122" width="13.88671875" customWidth="1"/>
    <col min="5123" max="5123" width="14.5546875" customWidth="1"/>
    <col min="5124" max="5124" width="15.5546875" customWidth="1"/>
    <col min="5125" max="5125" width="14.5546875" customWidth="1"/>
    <col min="5126" max="5126" width="16.5546875" customWidth="1"/>
    <col min="5127" max="5127" width="14.5546875" customWidth="1"/>
    <col min="5128" max="5128" width="11.5546875" customWidth="1"/>
    <col min="5129" max="5129" width="12.88671875" customWidth="1"/>
    <col min="5130" max="5131" width="13.5546875" customWidth="1"/>
    <col min="5132" max="5132" width="13.44140625" bestFit="1" customWidth="1"/>
    <col min="5376" max="5376" width="6.109375" customWidth="1"/>
    <col min="5377" max="5377" width="28.109375" customWidth="1"/>
    <col min="5378" max="5378" width="13.88671875" customWidth="1"/>
    <col min="5379" max="5379" width="14.5546875" customWidth="1"/>
    <col min="5380" max="5380" width="15.5546875" customWidth="1"/>
    <col min="5381" max="5381" width="14.5546875" customWidth="1"/>
    <col min="5382" max="5382" width="16.5546875" customWidth="1"/>
    <col min="5383" max="5383" width="14.5546875" customWidth="1"/>
    <col min="5384" max="5384" width="11.5546875" customWidth="1"/>
    <col min="5385" max="5385" width="12.88671875" customWidth="1"/>
    <col min="5386" max="5387" width="13.5546875" customWidth="1"/>
    <col min="5388" max="5388" width="13.44140625" bestFit="1" customWidth="1"/>
    <col min="5632" max="5632" width="6.109375" customWidth="1"/>
    <col min="5633" max="5633" width="28.109375" customWidth="1"/>
    <col min="5634" max="5634" width="13.88671875" customWidth="1"/>
    <col min="5635" max="5635" width="14.5546875" customWidth="1"/>
    <col min="5636" max="5636" width="15.5546875" customWidth="1"/>
    <col min="5637" max="5637" width="14.5546875" customWidth="1"/>
    <col min="5638" max="5638" width="16.5546875" customWidth="1"/>
    <col min="5639" max="5639" width="14.5546875" customWidth="1"/>
    <col min="5640" max="5640" width="11.5546875" customWidth="1"/>
    <col min="5641" max="5641" width="12.88671875" customWidth="1"/>
    <col min="5642" max="5643" width="13.5546875" customWidth="1"/>
    <col min="5644" max="5644" width="13.44140625" bestFit="1" customWidth="1"/>
    <col min="5888" max="5888" width="6.109375" customWidth="1"/>
    <col min="5889" max="5889" width="28.109375" customWidth="1"/>
    <col min="5890" max="5890" width="13.88671875" customWidth="1"/>
    <col min="5891" max="5891" width="14.5546875" customWidth="1"/>
    <col min="5892" max="5892" width="15.5546875" customWidth="1"/>
    <col min="5893" max="5893" width="14.5546875" customWidth="1"/>
    <col min="5894" max="5894" width="16.5546875" customWidth="1"/>
    <col min="5895" max="5895" width="14.5546875" customWidth="1"/>
    <col min="5896" max="5896" width="11.5546875" customWidth="1"/>
    <col min="5897" max="5897" width="12.88671875" customWidth="1"/>
    <col min="5898" max="5899" width="13.5546875" customWidth="1"/>
    <col min="5900" max="5900" width="13.44140625" bestFit="1" customWidth="1"/>
    <col min="6144" max="6144" width="6.109375" customWidth="1"/>
    <col min="6145" max="6145" width="28.109375" customWidth="1"/>
    <col min="6146" max="6146" width="13.88671875" customWidth="1"/>
    <col min="6147" max="6147" width="14.5546875" customWidth="1"/>
    <col min="6148" max="6148" width="15.5546875" customWidth="1"/>
    <col min="6149" max="6149" width="14.5546875" customWidth="1"/>
    <col min="6150" max="6150" width="16.5546875" customWidth="1"/>
    <col min="6151" max="6151" width="14.5546875" customWidth="1"/>
    <col min="6152" max="6152" width="11.5546875" customWidth="1"/>
    <col min="6153" max="6153" width="12.88671875" customWidth="1"/>
    <col min="6154" max="6155" width="13.5546875" customWidth="1"/>
    <col min="6156" max="6156" width="13.44140625" bestFit="1" customWidth="1"/>
    <col min="6400" max="6400" width="6.109375" customWidth="1"/>
    <col min="6401" max="6401" width="28.109375" customWidth="1"/>
    <col min="6402" max="6402" width="13.88671875" customWidth="1"/>
    <col min="6403" max="6403" width="14.5546875" customWidth="1"/>
    <col min="6404" max="6404" width="15.5546875" customWidth="1"/>
    <col min="6405" max="6405" width="14.5546875" customWidth="1"/>
    <col min="6406" max="6406" width="16.5546875" customWidth="1"/>
    <col min="6407" max="6407" width="14.5546875" customWidth="1"/>
    <col min="6408" max="6408" width="11.5546875" customWidth="1"/>
    <col min="6409" max="6409" width="12.88671875" customWidth="1"/>
    <col min="6410" max="6411" width="13.5546875" customWidth="1"/>
    <col min="6412" max="6412" width="13.44140625" bestFit="1" customWidth="1"/>
    <col min="6656" max="6656" width="6.109375" customWidth="1"/>
    <col min="6657" max="6657" width="28.109375" customWidth="1"/>
    <col min="6658" max="6658" width="13.88671875" customWidth="1"/>
    <col min="6659" max="6659" width="14.5546875" customWidth="1"/>
    <col min="6660" max="6660" width="15.5546875" customWidth="1"/>
    <col min="6661" max="6661" width="14.5546875" customWidth="1"/>
    <col min="6662" max="6662" width="16.5546875" customWidth="1"/>
    <col min="6663" max="6663" width="14.5546875" customWidth="1"/>
    <col min="6664" max="6664" width="11.5546875" customWidth="1"/>
    <col min="6665" max="6665" width="12.88671875" customWidth="1"/>
    <col min="6666" max="6667" width="13.5546875" customWidth="1"/>
    <col min="6668" max="6668" width="13.44140625" bestFit="1" customWidth="1"/>
    <col min="6912" max="6912" width="6.109375" customWidth="1"/>
    <col min="6913" max="6913" width="28.109375" customWidth="1"/>
    <col min="6914" max="6914" width="13.88671875" customWidth="1"/>
    <col min="6915" max="6915" width="14.5546875" customWidth="1"/>
    <col min="6916" max="6916" width="15.5546875" customWidth="1"/>
    <col min="6917" max="6917" width="14.5546875" customWidth="1"/>
    <col min="6918" max="6918" width="16.5546875" customWidth="1"/>
    <col min="6919" max="6919" width="14.5546875" customWidth="1"/>
    <col min="6920" max="6920" width="11.5546875" customWidth="1"/>
    <col min="6921" max="6921" width="12.88671875" customWidth="1"/>
    <col min="6922" max="6923" width="13.5546875" customWidth="1"/>
    <col min="6924" max="6924" width="13.44140625" bestFit="1" customWidth="1"/>
    <col min="7168" max="7168" width="6.109375" customWidth="1"/>
    <col min="7169" max="7169" width="28.109375" customWidth="1"/>
    <col min="7170" max="7170" width="13.88671875" customWidth="1"/>
    <col min="7171" max="7171" width="14.5546875" customWidth="1"/>
    <col min="7172" max="7172" width="15.5546875" customWidth="1"/>
    <col min="7173" max="7173" width="14.5546875" customWidth="1"/>
    <col min="7174" max="7174" width="16.5546875" customWidth="1"/>
    <col min="7175" max="7175" width="14.5546875" customWidth="1"/>
    <col min="7176" max="7176" width="11.5546875" customWidth="1"/>
    <col min="7177" max="7177" width="12.88671875" customWidth="1"/>
    <col min="7178" max="7179" width="13.5546875" customWidth="1"/>
    <col min="7180" max="7180" width="13.44140625" bestFit="1" customWidth="1"/>
    <col min="7424" max="7424" width="6.109375" customWidth="1"/>
    <col min="7425" max="7425" width="28.109375" customWidth="1"/>
    <col min="7426" max="7426" width="13.88671875" customWidth="1"/>
    <col min="7427" max="7427" width="14.5546875" customWidth="1"/>
    <col min="7428" max="7428" width="15.5546875" customWidth="1"/>
    <col min="7429" max="7429" width="14.5546875" customWidth="1"/>
    <col min="7430" max="7430" width="16.5546875" customWidth="1"/>
    <col min="7431" max="7431" width="14.5546875" customWidth="1"/>
    <col min="7432" max="7432" width="11.5546875" customWidth="1"/>
    <col min="7433" max="7433" width="12.88671875" customWidth="1"/>
    <col min="7434" max="7435" width="13.5546875" customWidth="1"/>
    <col min="7436" max="7436" width="13.44140625" bestFit="1" customWidth="1"/>
    <col min="7680" max="7680" width="6.109375" customWidth="1"/>
    <col min="7681" max="7681" width="28.109375" customWidth="1"/>
    <col min="7682" max="7682" width="13.88671875" customWidth="1"/>
    <col min="7683" max="7683" width="14.5546875" customWidth="1"/>
    <col min="7684" max="7684" width="15.5546875" customWidth="1"/>
    <col min="7685" max="7685" width="14.5546875" customWidth="1"/>
    <col min="7686" max="7686" width="16.5546875" customWidth="1"/>
    <col min="7687" max="7687" width="14.5546875" customWidth="1"/>
    <col min="7688" max="7688" width="11.5546875" customWidth="1"/>
    <col min="7689" max="7689" width="12.88671875" customWidth="1"/>
    <col min="7690" max="7691" width="13.5546875" customWidth="1"/>
    <col min="7692" max="7692" width="13.44140625" bestFit="1" customWidth="1"/>
    <col min="7936" max="7936" width="6.109375" customWidth="1"/>
    <col min="7937" max="7937" width="28.109375" customWidth="1"/>
    <col min="7938" max="7938" width="13.88671875" customWidth="1"/>
    <col min="7939" max="7939" width="14.5546875" customWidth="1"/>
    <col min="7940" max="7940" width="15.5546875" customWidth="1"/>
    <col min="7941" max="7941" width="14.5546875" customWidth="1"/>
    <col min="7942" max="7942" width="16.5546875" customWidth="1"/>
    <col min="7943" max="7943" width="14.5546875" customWidth="1"/>
    <col min="7944" max="7944" width="11.5546875" customWidth="1"/>
    <col min="7945" max="7945" width="12.88671875" customWidth="1"/>
    <col min="7946" max="7947" width="13.5546875" customWidth="1"/>
    <col min="7948" max="7948" width="13.44140625" bestFit="1" customWidth="1"/>
    <col min="8192" max="8192" width="6.109375" customWidth="1"/>
    <col min="8193" max="8193" width="28.109375" customWidth="1"/>
    <col min="8194" max="8194" width="13.88671875" customWidth="1"/>
    <col min="8195" max="8195" width="14.5546875" customWidth="1"/>
    <col min="8196" max="8196" width="15.5546875" customWidth="1"/>
    <col min="8197" max="8197" width="14.5546875" customWidth="1"/>
    <col min="8198" max="8198" width="16.5546875" customWidth="1"/>
    <col min="8199" max="8199" width="14.5546875" customWidth="1"/>
    <col min="8200" max="8200" width="11.5546875" customWidth="1"/>
    <col min="8201" max="8201" width="12.88671875" customWidth="1"/>
    <col min="8202" max="8203" width="13.5546875" customWidth="1"/>
    <col min="8204" max="8204" width="13.44140625" bestFit="1" customWidth="1"/>
    <col min="8448" max="8448" width="6.109375" customWidth="1"/>
    <col min="8449" max="8449" width="28.109375" customWidth="1"/>
    <col min="8450" max="8450" width="13.88671875" customWidth="1"/>
    <col min="8451" max="8451" width="14.5546875" customWidth="1"/>
    <col min="8452" max="8452" width="15.5546875" customWidth="1"/>
    <col min="8453" max="8453" width="14.5546875" customWidth="1"/>
    <col min="8454" max="8454" width="16.5546875" customWidth="1"/>
    <col min="8455" max="8455" width="14.5546875" customWidth="1"/>
    <col min="8456" max="8456" width="11.5546875" customWidth="1"/>
    <col min="8457" max="8457" width="12.88671875" customWidth="1"/>
    <col min="8458" max="8459" width="13.5546875" customWidth="1"/>
    <col min="8460" max="8460" width="13.44140625" bestFit="1" customWidth="1"/>
    <col min="8704" max="8704" width="6.109375" customWidth="1"/>
    <col min="8705" max="8705" width="28.109375" customWidth="1"/>
    <col min="8706" max="8706" width="13.88671875" customWidth="1"/>
    <col min="8707" max="8707" width="14.5546875" customWidth="1"/>
    <col min="8708" max="8708" width="15.5546875" customWidth="1"/>
    <col min="8709" max="8709" width="14.5546875" customWidth="1"/>
    <col min="8710" max="8710" width="16.5546875" customWidth="1"/>
    <col min="8711" max="8711" width="14.5546875" customWidth="1"/>
    <col min="8712" max="8712" width="11.5546875" customWidth="1"/>
    <col min="8713" max="8713" width="12.88671875" customWidth="1"/>
    <col min="8714" max="8715" width="13.5546875" customWidth="1"/>
    <col min="8716" max="8716" width="13.44140625" bestFit="1" customWidth="1"/>
    <col min="8960" max="8960" width="6.109375" customWidth="1"/>
    <col min="8961" max="8961" width="28.109375" customWidth="1"/>
    <col min="8962" max="8962" width="13.88671875" customWidth="1"/>
    <col min="8963" max="8963" width="14.5546875" customWidth="1"/>
    <col min="8964" max="8964" width="15.5546875" customWidth="1"/>
    <col min="8965" max="8965" width="14.5546875" customWidth="1"/>
    <col min="8966" max="8966" width="16.5546875" customWidth="1"/>
    <col min="8967" max="8967" width="14.5546875" customWidth="1"/>
    <col min="8968" max="8968" width="11.5546875" customWidth="1"/>
    <col min="8969" max="8969" width="12.88671875" customWidth="1"/>
    <col min="8970" max="8971" width="13.5546875" customWidth="1"/>
    <col min="8972" max="8972" width="13.44140625" bestFit="1" customWidth="1"/>
    <col min="9216" max="9216" width="6.109375" customWidth="1"/>
    <col min="9217" max="9217" width="28.109375" customWidth="1"/>
    <col min="9218" max="9218" width="13.88671875" customWidth="1"/>
    <col min="9219" max="9219" width="14.5546875" customWidth="1"/>
    <col min="9220" max="9220" width="15.5546875" customWidth="1"/>
    <col min="9221" max="9221" width="14.5546875" customWidth="1"/>
    <col min="9222" max="9222" width="16.5546875" customWidth="1"/>
    <col min="9223" max="9223" width="14.5546875" customWidth="1"/>
    <col min="9224" max="9224" width="11.5546875" customWidth="1"/>
    <col min="9225" max="9225" width="12.88671875" customWidth="1"/>
    <col min="9226" max="9227" width="13.5546875" customWidth="1"/>
    <col min="9228" max="9228" width="13.44140625" bestFit="1" customWidth="1"/>
    <col min="9472" max="9472" width="6.109375" customWidth="1"/>
    <col min="9473" max="9473" width="28.109375" customWidth="1"/>
    <col min="9474" max="9474" width="13.88671875" customWidth="1"/>
    <col min="9475" max="9475" width="14.5546875" customWidth="1"/>
    <col min="9476" max="9476" width="15.5546875" customWidth="1"/>
    <col min="9477" max="9477" width="14.5546875" customWidth="1"/>
    <col min="9478" max="9478" width="16.5546875" customWidth="1"/>
    <col min="9479" max="9479" width="14.5546875" customWidth="1"/>
    <col min="9480" max="9480" width="11.5546875" customWidth="1"/>
    <col min="9481" max="9481" width="12.88671875" customWidth="1"/>
    <col min="9482" max="9483" width="13.5546875" customWidth="1"/>
    <col min="9484" max="9484" width="13.44140625" bestFit="1" customWidth="1"/>
    <col min="9728" max="9728" width="6.109375" customWidth="1"/>
    <col min="9729" max="9729" width="28.109375" customWidth="1"/>
    <col min="9730" max="9730" width="13.88671875" customWidth="1"/>
    <col min="9731" max="9731" width="14.5546875" customWidth="1"/>
    <col min="9732" max="9732" width="15.5546875" customWidth="1"/>
    <col min="9733" max="9733" width="14.5546875" customWidth="1"/>
    <col min="9734" max="9734" width="16.5546875" customWidth="1"/>
    <col min="9735" max="9735" width="14.5546875" customWidth="1"/>
    <col min="9736" max="9736" width="11.5546875" customWidth="1"/>
    <col min="9737" max="9737" width="12.88671875" customWidth="1"/>
    <col min="9738" max="9739" width="13.5546875" customWidth="1"/>
    <col min="9740" max="9740" width="13.44140625" bestFit="1" customWidth="1"/>
    <col min="9984" max="9984" width="6.109375" customWidth="1"/>
    <col min="9985" max="9985" width="28.109375" customWidth="1"/>
    <col min="9986" max="9986" width="13.88671875" customWidth="1"/>
    <col min="9987" max="9987" width="14.5546875" customWidth="1"/>
    <col min="9988" max="9988" width="15.5546875" customWidth="1"/>
    <col min="9989" max="9989" width="14.5546875" customWidth="1"/>
    <col min="9990" max="9990" width="16.5546875" customWidth="1"/>
    <col min="9991" max="9991" width="14.5546875" customWidth="1"/>
    <col min="9992" max="9992" width="11.5546875" customWidth="1"/>
    <col min="9993" max="9993" width="12.88671875" customWidth="1"/>
    <col min="9994" max="9995" width="13.5546875" customWidth="1"/>
    <col min="9996" max="9996" width="13.44140625" bestFit="1" customWidth="1"/>
    <col min="10240" max="10240" width="6.109375" customWidth="1"/>
    <col min="10241" max="10241" width="28.109375" customWidth="1"/>
    <col min="10242" max="10242" width="13.88671875" customWidth="1"/>
    <col min="10243" max="10243" width="14.5546875" customWidth="1"/>
    <col min="10244" max="10244" width="15.5546875" customWidth="1"/>
    <col min="10245" max="10245" width="14.5546875" customWidth="1"/>
    <col min="10246" max="10246" width="16.5546875" customWidth="1"/>
    <col min="10247" max="10247" width="14.5546875" customWidth="1"/>
    <col min="10248" max="10248" width="11.5546875" customWidth="1"/>
    <col min="10249" max="10249" width="12.88671875" customWidth="1"/>
    <col min="10250" max="10251" width="13.5546875" customWidth="1"/>
    <col min="10252" max="10252" width="13.44140625" bestFit="1" customWidth="1"/>
    <col min="10496" max="10496" width="6.109375" customWidth="1"/>
    <col min="10497" max="10497" width="28.109375" customWidth="1"/>
    <col min="10498" max="10498" width="13.88671875" customWidth="1"/>
    <col min="10499" max="10499" width="14.5546875" customWidth="1"/>
    <col min="10500" max="10500" width="15.5546875" customWidth="1"/>
    <col min="10501" max="10501" width="14.5546875" customWidth="1"/>
    <col min="10502" max="10502" width="16.5546875" customWidth="1"/>
    <col min="10503" max="10503" width="14.5546875" customWidth="1"/>
    <col min="10504" max="10504" width="11.5546875" customWidth="1"/>
    <col min="10505" max="10505" width="12.88671875" customWidth="1"/>
    <col min="10506" max="10507" width="13.5546875" customWidth="1"/>
    <col min="10508" max="10508" width="13.44140625" bestFit="1" customWidth="1"/>
    <col min="10752" max="10752" width="6.109375" customWidth="1"/>
    <col min="10753" max="10753" width="28.109375" customWidth="1"/>
    <col min="10754" max="10754" width="13.88671875" customWidth="1"/>
    <col min="10755" max="10755" width="14.5546875" customWidth="1"/>
    <col min="10756" max="10756" width="15.5546875" customWidth="1"/>
    <col min="10757" max="10757" width="14.5546875" customWidth="1"/>
    <col min="10758" max="10758" width="16.5546875" customWidth="1"/>
    <col min="10759" max="10759" width="14.5546875" customWidth="1"/>
    <col min="10760" max="10760" width="11.5546875" customWidth="1"/>
    <col min="10761" max="10761" width="12.88671875" customWidth="1"/>
    <col min="10762" max="10763" width="13.5546875" customWidth="1"/>
    <col min="10764" max="10764" width="13.44140625" bestFit="1" customWidth="1"/>
    <col min="11008" max="11008" width="6.109375" customWidth="1"/>
    <col min="11009" max="11009" width="28.109375" customWidth="1"/>
    <col min="11010" max="11010" width="13.88671875" customWidth="1"/>
    <col min="11011" max="11011" width="14.5546875" customWidth="1"/>
    <col min="11012" max="11012" width="15.5546875" customWidth="1"/>
    <col min="11013" max="11013" width="14.5546875" customWidth="1"/>
    <col min="11014" max="11014" width="16.5546875" customWidth="1"/>
    <col min="11015" max="11015" width="14.5546875" customWidth="1"/>
    <col min="11016" max="11016" width="11.5546875" customWidth="1"/>
    <col min="11017" max="11017" width="12.88671875" customWidth="1"/>
    <col min="11018" max="11019" width="13.5546875" customWidth="1"/>
    <col min="11020" max="11020" width="13.44140625" bestFit="1" customWidth="1"/>
    <col min="11264" max="11264" width="6.109375" customWidth="1"/>
    <col min="11265" max="11265" width="28.109375" customWidth="1"/>
    <col min="11266" max="11266" width="13.88671875" customWidth="1"/>
    <col min="11267" max="11267" width="14.5546875" customWidth="1"/>
    <col min="11268" max="11268" width="15.5546875" customWidth="1"/>
    <col min="11269" max="11269" width="14.5546875" customWidth="1"/>
    <col min="11270" max="11270" width="16.5546875" customWidth="1"/>
    <col min="11271" max="11271" width="14.5546875" customWidth="1"/>
    <col min="11272" max="11272" width="11.5546875" customWidth="1"/>
    <col min="11273" max="11273" width="12.88671875" customWidth="1"/>
    <col min="11274" max="11275" width="13.5546875" customWidth="1"/>
    <col min="11276" max="11276" width="13.44140625" bestFit="1" customWidth="1"/>
    <col min="11520" max="11520" width="6.109375" customWidth="1"/>
    <col min="11521" max="11521" width="28.109375" customWidth="1"/>
    <col min="11522" max="11522" width="13.88671875" customWidth="1"/>
    <col min="11523" max="11523" width="14.5546875" customWidth="1"/>
    <col min="11524" max="11524" width="15.5546875" customWidth="1"/>
    <col min="11525" max="11525" width="14.5546875" customWidth="1"/>
    <col min="11526" max="11526" width="16.5546875" customWidth="1"/>
    <col min="11527" max="11527" width="14.5546875" customWidth="1"/>
    <col min="11528" max="11528" width="11.5546875" customWidth="1"/>
    <col min="11529" max="11529" width="12.88671875" customWidth="1"/>
    <col min="11530" max="11531" width="13.5546875" customWidth="1"/>
    <col min="11532" max="11532" width="13.44140625" bestFit="1" customWidth="1"/>
    <col min="11776" max="11776" width="6.109375" customWidth="1"/>
    <col min="11777" max="11777" width="28.109375" customWidth="1"/>
    <col min="11778" max="11778" width="13.88671875" customWidth="1"/>
    <col min="11779" max="11779" width="14.5546875" customWidth="1"/>
    <col min="11780" max="11780" width="15.5546875" customWidth="1"/>
    <col min="11781" max="11781" width="14.5546875" customWidth="1"/>
    <col min="11782" max="11782" width="16.5546875" customWidth="1"/>
    <col min="11783" max="11783" width="14.5546875" customWidth="1"/>
    <col min="11784" max="11784" width="11.5546875" customWidth="1"/>
    <col min="11785" max="11785" width="12.88671875" customWidth="1"/>
    <col min="11786" max="11787" width="13.5546875" customWidth="1"/>
    <col min="11788" max="11788" width="13.44140625" bestFit="1" customWidth="1"/>
    <col min="12032" max="12032" width="6.109375" customWidth="1"/>
    <col min="12033" max="12033" width="28.109375" customWidth="1"/>
    <col min="12034" max="12034" width="13.88671875" customWidth="1"/>
    <col min="12035" max="12035" width="14.5546875" customWidth="1"/>
    <col min="12036" max="12036" width="15.5546875" customWidth="1"/>
    <col min="12037" max="12037" width="14.5546875" customWidth="1"/>
    <col min="12038" max="12038" width="16.5546875" customWidth="1"/>
    <col min="12039" max="12039" width="14.5546875" customWidth="1"/>
    <col min="12040" max="12040" width="11.5546875" customWidth="1"/>
    <col min="12041" max="12041" width="12.88671875" customWidth="1"/>
    <col min="12042" max="12043" width="13.5546875" customWidth="1"/>
    <col min="12044" max="12044" width="13.44140625" bestFit="1" customWidth="1"/>
    <col min="12288" max="12288" width="6.109375" customWidth="1"/>
    <col min="12289" max="12289" width="28.109375" customWidth="1"/>
    <col min="12290" max="12290" width="13.88671875" customWidth="1"/>
    <col min="12291" max="12291" width="14.5546875" customWidth="1"/>
    <col min="12292" max="12292" width="15.5546875" customWidth="1"/>
    <col min="12293" max="12293" width="14.5546875" customWidth="1"/>
    <col min="12294" max="12294" width="16.5546875" customWidth="1"/>
    <col min="12295" max="12295" width="14.5546875" customWidth="1"/>
    <col min="12296" max="12296" width="11.5546875" customWidth="1"/>
    <col min="12297" max="12297" width="12.88671875" customWidth="1"/>
    <col min="12298" max="12299" width="13.5546875" customWidth="1"/>
    <col min="12300" max="12300" width="13.44140625" bestFit="1" customWidth="1"/>
    <col min="12544" max="12544" width="6.109375" customWidth="1"/>
    <col min="12545" max="12545" width="28.109375" customWidth="1"/>
    <col min="12546" max="12546" width="13.88671875" customWidth="1"/>
    <col min="12547" max="12547" width="14.5546875" customWidth="1"/>
    <col min="12548" max="12548" width="15.5546875" customWidth="1"/>
    <col min="12549" max="12549" width="14.5546875" customWidth="1"/>
    <col min="12550" max="12550" width="16.5546875" customWidth="1"/>
    <col min="12551" max="12551" width="14.5546875" customWidth="1"/>
    <col min="12552" max="12552" width="11.5546875" customWidth="1"/>
    <col min="12553" max="12553" width="12.88671875" customWidth="1"/>
    <col min="12554" max="12555" width="13.5546875" customWidth="1"/>
    <col min="12556" max="12556" width="13.44140625" bestFit="1" customWidth="1"/>
    <col min="12800" max="12800" width="6.109375" customWidth="1"/>
    <col min="12801" max="12801" width="28.109375" customWidth="1"/>
    <col min="12802" max="12802" width="13.88671875" customWidth="1"/>
    <col min="12803" max="12803" width="14.5546875" customWidth="1"/>
    <col min="12804" max="12804" width="15.5546875" customWidth="1"/>
    <col min="12805" max="12805" width="14.5546875" customWidth="1"/>
    <col min="12806" max="12806" width="16.5546875" customWidth="1"/>
    <col min="12807" max="12807" width="14.5546875" customWidth="1"/>
    <col min="12808" max="12808" width="11.5546875" customWidth="1"/>
    <col min="12809" max="12809" width="12.88671875" customWidth="1"/>
    <col min="12810" max="12811" width="13.5546875" customWidth="1"/>
    <col min="12812" max="12812" width="13.44140625" bestFit="1" customWidth="1"/>
    <col min="13056" max="13056" width="6.109375" customWidth="1"/>
    <col min="13057" max="13057" width="28.109375" customWidth="1"/>
    <col min="13058" max="13058" width="13.88671875" customWidth="1"/>
    <col min="13059" max="13059" width="14.5546875" customWidth="1"/>
    <col min="13060" max="13060" width="15.5546875" customWidth="1"/>
    <col min="13061" max="13061" width="14.5546875" customWidth="1"/>
    <col min="13062" max="13062" width="16.5546875" customWidth="1"/>
    <col min="13063" max="13063" width="14.5546875" customWidth="1"/>
    <col min="13064" max="13064" width="11.5546875" customWidth="1"/>
    <col min="13065" max="13065" width="12.88671875" customWidth="1"/>
    <col min="13066" max="13067" width="13.5546875" customWidth="1"/>
    <col min="13068" max="13068" width="13.44140625" bestFit="1" customWidth="1"/>
    <col min="13312" max="13312" width="6.109375" customWidth="1"/>
    <col min="13313" max="13313" width="28.109375" customWidth="1"/>
    <col min="13314" max="13314" width="13.88671875" customWidth="1"/>
    <col min="13315" max="13315" width="14.5546875" customWidth="1"/>
    <col min="13316" max="13316" width="15.5546875" customWidth="1"/>
    <col min="13317" max="13317" width="14.5546875" customWidth="1"/>
    <col min="13318" max="13318" width="16.5546875" customWidth="1"/>
    <col min="13319" max="13319" width="14.5546875" customWidth="1"/>
    <col min="13320" max="13320" width="11.5546875" customWidth="1"/>
    <col min="13321" max="13321" width="12.88671875" customWidth="1"/>
    <col min="13322" max="13323" width="13.5546875" customWidth="1"/>
    <col min="13324" max="13324" width="13.44140625" bestFit="1" customWidth="1"/>
    <col min="13568" max="13568" width="6.109375" customWidth="1"/>
    <col min="13569" max="13569" width="28.109375" customWidth="1"/>
    <col min="13570" max="13570" width="13.88671875" customWidth="1"/>
    <col min="13571" max="13571" width="14.5546875" customWidth="1"/>
    <col min="13572" max="13572" width="15.5546875" customWidth="1"/>
    <col min="13573" max="13573" width="14.5546875" customWidth="1"/>
    <col min="13574" max="13574" width="16.5546875" customWidth="1"/>
    <col min="13575" max="13575" width="14.5546875" customWidth="1"/>
    <col min="13576" max="13576" width="11.5546875" customWidth="1"/>
    <col min="13577" max="13577" width="12.88671875" customWidth="1"/>
    <col min="13578" max="13579" width="13.5546875" customWidth="1"/>
    <col min="13580" max="13580" width="13.44140625" bestFit="1" customWidth="1"/>
    <col min="13824" max="13824" width="6.109375" customWidth="1"/>
    <col min="13825" max="13825" width="28.109375" customWidth="1"/>
    <col min="13826" max="13826" width="13.88671875" customWidth="1"/>
    <col min="13827" max="13827" width="14.5546875" customWidth="1"/>
    <col min="13828" max="13828" width="15.5546875" customWidth="1"/>
    <col min="13829" max="13829" width="14.5546875" customWidth="1"/>
    <col min="13830" max="13830" width="16.5546875" customWidth="1"/>
    <col min="13831" max="13831" width="14.5546875" customWidth="1"/>
    <col min="13832" max="13832" width="11.5546875" customWidth="1"/>
    <col min="13833" max="13833" width="12.88671875" customWidth="1"/>
    <col min="13834" max="13835" width="13.5546875" customWidth="1"/>
    <col min="13836" max="13836" width="13.44140625" bestFit="1" customWidth="1"/>
    <col min="14080" max="14080" width="6.109375" customWidth="1"/>
    <col min="14081" max="14081" width="28.109375" customWidth="1"/>
    <col min="14082" max="14082" width="13.88671875" customWidth="1"/>
    <col min="14083" max="14083" width="14.5546875" customWidth="1"/>
    <col min="14084" max="14084" width="15.5546875" customWidth="1"/>
    <col min="14085" max="14085" width="14.5546875" customWidth="1"/>
    <col min="14086" max="14086" width="16.5546875" customWidth="1"/>
    <col min="14087" max="14087" width="14.5546875" customWidth="1"/>
    <col min="14088" max="14088" width="11.5546875" customWidth="1"/>
    <col min="14089" max="14089" width="12.88671875" customWidth="1"/>
    <col min="14090" max="14091" width="13.5546875" customWidth="1"/>
    <col min="14092" max="14092" width="13.44140625" bestFit="1" customWidth="1"/>
    <col min="14336" max="14336" width="6.109375" customWidth="1"/>
    <col min="14337" max="14337" width="28.109375" customWidth="1"/>
    <col min="14338" max="14338" width="13.88671875" customWidth="1"/>
    <col min="14339" max="14339" width="14.5546875" customWidth="1"/>
    <col min="14340" max="14340" width="15.5546875" customWidth="1"/>
    <col min="14341" max="14341" width="14.5546875" customWidth="1"/>
    <col min="14342" max="14342" width="16.5546875" customWidth="1"/>
    <col min="14343" max="14343" width="14.5546875" customWidth="1"/>
    <col min="14344" max="14344" width="11.5546875" customWidth="1"/>
    <col min="14345" max="14345" width="12.88671875" customWidth="1"/>
    <col min="14346" max="14347" width="13.5546875" customWidth="1"/>
    <col min="14348" max="14348" width="13.44140625" bestFit="1" customWidth="1"/>
    <col min="14592" max="14592" width="6.109375" customWidth="1"/>
    <col min="14593" max="14593" width="28.109375" customWidth="1"/>
    <col min="14594" max="14594" width="13.88671875" customWidth="1"/>
    <col min="14595" max="14595" width="14.5546875" customWidth="1"/>
    <col min="14596" max="14596" width="15.5546875" customWidth="1"/>
    <col min="14597" max="14597" width="14.5546875" customWidth="1"/>
    <col min="14598" max="14598" width="16.5546875" customWidth="1"/>
    <col min="14599" max="14599" width="14.5546875" customWidth="1"/>
    <col min="14600" max="14600" width="11.5546875" customWidth="1"/>
    <col min="14601" max="14601" width="12.88671875" customWidth="1"/>
    <col min="14602" max="14603" width="13.5546875" customWidth="1"/>
    <col min="14604" max="14604" width="13.44140625" bestFit="1" customWidth="1"/>
    <col min="14848" max="14848" width="6.109375" customWidth="1"/>
    <col min="14849" max="14849" width="28.109375" customWidth="1"/>
    <col min="14850" max="14850" width="13.88671875" customWidth="1"/>
    <col min="14851" max="14851" width="14.5546875" customWidth="1"/>
    <col min="14852" max="14852" width="15.5546875" customWidth="1"/>
    <col min="14853" max="14853" width="14.5546875" customWidth="1"/>
    <col min="14854" max="14854" width="16.5546875" customWidth="1"/>
    <col min="14855" max="14855" width="14.5546875" customWidth="1"/>
    <col min="14856" max="14856" width="11.5546875" customWidth="1"/>
    <col min="14857" max="14857" width="12.88671875" customWidth="1"/>
    <col min="14858" max="14859" width="13.5546875" customWidth="1"/>
    <col min="14860" max="14860" width="13.44140625" bestFit="1" customWidth="1"/>
    <col min="15104" max="15104" width="6.109375" customWidth="1"/>
    <col min="15105" max="15105" width="28.109375" customWidth="1"/>
    <col min="15106" max="15106" width="13.88671875" customWidth="1"/>
    <col min="15107" max="15107" width="14.5546875" customWidth="1"/>
    <col min="15108" max="15108" width="15.5546875" customWidth="1"/>
    <col min="15109" max="15109" width="14.5546875" customWidth="1"/>
    <col min="15110" max="15110" width="16.5546875" customWidth="1"/>
    <col min="15111" max="15111" width="14.5546875" customWidth="1"/>
    <col min="15112" max="15112" width="11.5546875" customWidth="1"/>
    <col min="15113" max="15113" width="12.88671875" customWidth="1"/>
    <col min="15114" max="15115" width="13.5546875" customWidth="1"/>
    <col min="15116" max="15116" width="13.44140625" bestFit="1" customWidth="1"/>
    <col min="15360" max="15360" width="6.109375" customWidth="1"/>
    <col min="15361" max="15361" width="28.109375" customWidth="1"/>
    <col min="15362" max="15362" width="13.88671875" customWidth="1"/>
    <col min="15363" max="15363" width="14.5546875" customWidth="1"/>
    <col min="15364" max="15364" width="15.5546875" customWidth="1"/>
    <col min="15365" max="15365" width="14.5546875" customWidth="1"/>
    <col min="15366" max="15366" width="16.5546875" customWidth="1"/>
    <col min="15367" max="15367" width="14.5546875" customWidth="1"/>
    <col min="15368" max="15368" width="11.5546875" customWidth="1"/>
    <col min="15369" max="15369" width="12.88671875" customWidth="1"/>
    <col min="15370" max="15371" width="13.5546875" customWidth="1"/>
    <col min="15372" max="15372" width="13.44140625" bestFit="1" customWidth="1"/>
    <col min="15616" max="15616" width="6.109375" customWidth="1"/>
    <col min="15617" max="15617" width="28.109375" customWidth="1"/>
    <col min="15618" max="15618" width="13.88671875" customWidth="1"/>
    <col min="15619" max="15619" width="14.5546875" customWidth="1"/>
    <col min="15620" max="15620" width="15.5546875" customWidth="1"/>
    <col min="15621" max="15621" width="14.5546875" customWidth="1"/>
    <col min="15622" max="15622" width="16.5546875" customWidth="1"/>
    <col min="15623" max="15623" width="14.5546875" customWidth="1"/>
    <col min="15624" max="15624" width="11.5546875" customWidth="1"/>
    <col min="15625" max="15625" width="12.88671875" customWidth="1"/>
    <col min="15626" max="15627" width="13.5546875" customWidth="1"/>
    <col min="15628" max="15628" width="13.44140625" bestFit="1" customWidth="1"/>
    <col min="15872" max="15872" width="6.109375" customWidth="1"/>
    <col min="15873" max="15873" width="28.109375" customWidth="1"/>
    <col min="15874" max="15874" width="13.88671875" customWidth="1"/>
    <col min="15875" max="15875" width="14.5546875" customWidth="1"/>
    <col min="15876" max="15876" width="15.5546875" customWidth="1"/>
    <col min="15877" max="15877" width="14.5546875" customWidth="1"/>
    <col min="15878" max="15878" width="16.5546875" customWidth="1"/>
    <col min="15879" max="15879" width="14.5546875" customWidth="1"/>
    <col min="15880" max="15880" width="11.5546875" customWidth="1"/>
    <col min="15881" max="15881" width="12.88671875" customWidth="1"/>
    <col min="15882" max="15883" width="13.5546875" customWidth="1"/>
    <col min="15884" max="15884" width="13.44140625" bestFit="1" customWidth="1"/>
    <col min="16128" max="16128" width="6.109375" customWidth="1"/>
    <col min="16129" max="16129" width="28.109375" customWidth="1"/>
    <col min="16130" max="16130" width="13.88671875" customWidth="1"/>
    <col min="16131" max="16131" width="14.5546875" customWidth="1"/>
    <col min="16132" max="16132" width="15.5546875" customWidth="1"/>
    <col min="16133" max="16133" width="14.5546875" customWidth="1"/>
    <col min="16134" max="16134" width="16.5546875" customWidth="1"/>
    <col min="16135" max="16135" width="14.5546875" customWidth="1"/>
    <col min="16136" max="16136" width="11.5546875" customWidth="1"/>
    <col min="16137" max="16137" width="12.88671875" customWidth="1"/>
    <col min="16138" max="16139" width="13.5546875" customWidth="1"/>
    <col min="16140" max="16140" width="13.44140625" bestFit="1" customWidth="1"/>
  </cols>
  <sheetData>
    <row r="1" spans="1:16" ht="18" x14ac:dyDescent="0.35">
      <c r="B1" s="29" t="s">
        <v>520</v>
      </c>
    </row>
    <row r="2" spans="1:16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0"/>
    </row>
    <row r="3" spans="1:16" s="40" customFormat="1" x14ac:dyDescent="0.3">
      <c r="A3" s="33"/>
      <c r="B3" s="908" t="s">
        <v>236</v>
      </c>
      <c r="C3" s="34" t="s">
        <v>1</v>
      </c>
      <c r="D3" s="35" t="s">
        <v>2</v>
      </c>
      <c r="E3" s="36" t="s">
        <v>3</v>
      </c>
      <c r="F3" s="36" t="s">
        <v>4</v>
      </c>
      <c r="G3" s="36" t="s">
        <v>5</v>
      </c>
      <c r="H3" s="36" t="s">
        <v>6</v>
      </c>
      <c r="I3" s="37" t="s">
        <v>7</v>
      </c>
      <c r="J3" s="37" t="s">
        <v>8</v>
      </c>
      <c r="K3" s="37" t="s">
        <v>9</v>
      </c>
      <c r="L3" s="37" t="s">
        <v>10</v>
      </c>
      <c r="M3" s="38"/>
    </row>
    <row r="4" spans="1:16" ht="91.35" customHeight="1" x14ac:dyDescent="0.3">
      <c r="A4" s="41" t="s">
        <v>189</v>
      </c>
      <c r="B4" s="909"/>
      <c r="C4" s="42" t="s">
        <v>190</v>
      </c>
      <c r="D4" s="36" t="s">
        <v>12</v>
      </c>
      <c r="E4" s="36" t="s">
        <v>13</v>
      </c>
      <c r="F4" s="36" t="s">
        <v>14</v>
      </c>
      <c r="G4" s="36" t="s">
        <v>15</v>
      </c>
      <c r="H4" s="36" t="s">
        <v>191</v>
      </c>
      <c r="I4" s="43" t="s">
        <v>17</v>
      </c>
      <c r="J4" s="43" t="s">
        <v>18</v>
      </c>
      <c r="K4" s="43" t="s">
        <v>19</v>
      </c>
      <c r="L4" s="43" t="s">
        <v>360</v>
      </c>
      <c r="M4" s="36" t="s">
        <v>193</v>
      </c>
    </row>
    <row r="5" spans="1:16" s="40" customFormat="1" x14ac:dyDescent="0.3">
      <c r="A5" s="490">
        <v>1</v>
      </c>
      <c r="B5" s="491" t="s">
        <v>521</v>
      </c>
      <c r="C5" s="303">
        <v>3485100.26</v>
      </c>
      <c r="D5" s="303">
        <f>E5+F5+G5+H5+I5+J5+K5+L5</f>
        <v>1539586.45</v>
      </c>
      <c r="E5" s="303">
        <v>0</v>
      </c>
      <c r="F5" s="303">
        <v>1086619.48</v>
      </c>
      <c r="G5" s="303">
        <v>246515.53</v>
      </c>
      <c r="H5" s="303">
        <v>9683.5</v>
      </c>
      <c r="I5" s="303">
        <v>23269.19</v>
      </c>
      <c r="J5" s="303">
        <v>15048.72</v>
      </c>
      <c r="K5" s="303">
        <v>80306.61</v>
      </c>
      <c r="L5" s="303">
        <v>78143.42</v>
      </c>
      <c r="M5" s="975">
        <v>54</v>
      </c>
    </row>
    <row r="6" spans="1:16" s="40" customFormat="1" ht="28.2" x14ac:dyDescent="0.3">
      <c r="A6" s="490">
        <v>2</v>
      </c>
      <c r="B6" s="491" t="s">
        <v>522</v>
      </c>
      <c r="C6" s="303">
        <v>615422.16</v>
      </c>
      <c r="D6" s="303">
        <f>E6+F6+G6+H6+I6+J6+K6+L6</f>
        <v>56788.73</v>
      </c>
      <c r="E6" s="303">
        <v>0</v>
      </c>
      <c r="F6" s="303">
        <v>19762.63</v>
      </c>
      <c r="G6" s="303">
        <v>16511.740000000002</v>
      </c>
      <c r="H6" s="303">
        <v>0</v>
      </c>
      <c r="I6" s="303">
        <v>2307.46</v>
      </c>
      <c r="J6" s="303">
        <v>2521.7800000000002</v>
      </c>
      <c r="K6" s="303">
        <v>15685.12</v>
      </c>
      <c r="L6" s="303">
        <v>0</v>
      </c>
      <c r="M6" s="880"/>
    </row>
    <row r="7" spans="1:16" x14ac:dyDescent="0.3">
      <c r="A7" s="51"/>
      <c r="B7" s="52" t="s">
        <v>2340</v>
      </c>
      <c r="C7" s="50">
        <f>SUM(C5:C6)</f>
        <v>4100522.42</v>
      </c>
      <c r="D7" s="50">
        <f t="shared" ref="D7:L7" si="0">SUM(D5:D6)</f>
        <v>1596375.18</v>
      </c>
      <c r="E7" s="50">
        <f t="shared" si="0"/>
        <v>0</v>
      </c>
      <c r="F7" s="50">
        <f t="shared" si="0"/>
        <v>1106382.1099999999</v>
      </c>
      <c r="G7" s="50">
        <f t="shared" si="0"/>
        <v>263027.27</v>
      </c>
      <c r="H7" s="50">
        <f t="shared" si="0"/>
        <v>9683.5</v>
      </c>
      <c r="I7" s="50">
        <f t="shared" si="0"/>
        <v>25576.649999999998</v>
      </c>
      <c r="J7" s="50">
        <f t="shared" si="0"/>
        <v>17570.5</v>
      </c>
      <c r="K7" s="50">
        <f t="shared" si="0"/>
        <v>95991.73</v>
      </c>
      <c r="L7" s="50">
        <f t="shared" si="0"/>
        <v>78143.42</v>
      </c>
      <c r="M7" s="881"/>
    </row>
    <row r="8" spans="1:16" x14ac:dyDescent="0.3">
      <c r="A8" s="30"/>
      <c r="B8" s="30"/>
      <c r="C8" s="30"/>
      <c r="D8" s="30"/>
      <c r="E8" s="30"/>
      <c r="F8" s="30"/>
      <c r="G8" s="30"/>
      <c r="H8" s="30"/>
      <c r="I8" s="30"/>
      <c r="J8" s="30"/>
      <c r="K8" s="31"/>
      <c r="L8" s="31"/>
    </row>
    <row r="9" spans="1:16" x14ac:dyDescent="0.3">
      <c r="A9" s="30"/>
      <c r="B9" s="30"/>
      <c r="C9" s="30"/>
      <c r="D9" s="30"/>
      <c r="E9" s="55"/>
      <c r="F9" s="30"/>
      <c r="G9" s="30"/>
      <c r="H9" s="30"/>
      <c r="I9" s="30"/>
      <c r="J9" s="303"/>
      <c r="K9" s="303"/>
      <c r="L9" s="303"/>
      <c r="M9" s="303"/>
      <c r="N9" s="303"/>
      <c r="O9" s="303"/>
      <c r="P9" s="26"/>
    </row>
    <row r="10" spans="1:16" x14ac:dyDescent="0.3">
      <c r="A10" s="30"/>
      <c r="B10" s="95" t="s">
        <v>197</v>
      </c>
      <c r="C10" s="30"/>
      <c r="D10" s="30"/>
      <c r="E10" s="30"/>
      <c r="F10" s="30"/>
      <c r="G10" s="30"/>
      <c r="H10" s="30"/>
      <c r="I10" s="30"/>
      <c r="J10" s="95"/>
      <c r="K10" s="30"/>
      <c r="L10" s="30"/>
      <c r="M10" s="30"/>
    </row>
    <row r="11" spans="1:16" s="40" customFormat="1" ht="57.6" x14ac:dyDescent="0.3">
      <c r="A11" s="17" t="s">
        <v>189</v>
      </c>
      <c r="B11" s="23" t="s">
        <v>361</v>
      </c>
      <c r="C11" s="23" t="s">
        <v>199</v>
      </c>
      <c r="D11" s="23" t="s">
        <v>200</v>
      </c>
      <c r="E11" s="23" t="s">
        <v>201</v>
      </c>
      <c r="F11" s="23" t="s">
        <v>202</v>
      </c>
      <c r="G11" s="23" t="s">
        <v>53</v>
      </c>
      <c r="H11" s="23" t="s">
        <v>203</v>
      </c>
      <c r="I11" s="23" t="s">
        <v>204</v>
      </c>
      <c r="K11" s="89"/>
      <c r="L11" s="96"/>
    </row>
    <row r="12" spans="1:16" s="24" customFormat="1" x14ac:dyDescent="0.3">
      <c r="A12" s="17" t="s">
        <v>69</v>
      </c>
      <c r="B12" s="23" t="s">
        <v>523</v>
      </c>
      <c r="C12" s="23"/>
      <c r="D12" s="23"/>
      <c r="E12" s="78"/>
      <c r="F12" s="78" t="s">
        <v>481</v>
      </c>
      <c r="G12" s="23">
        <v>1023.05</v>
      </c>
      <c r="H12" s="23">
        <v>3</v>
      </c>
      <c r="I12" s="492">
        <v>1218151.8700000001</v>
      </c>
      <c r="J12" s="26"/>
      <c r="K12" s="99"/>
      <c r="M12" s="96"/>
    </row>
    <row r="13" spans="1:16" s="24" customFormat="1" x14ac:dyDescent="0.3">
      <c r="A13" s="17" t="s">
        <v>71</v>
      </c>
      <c r="B13" s="23" t="s">
        <v>524</v>
      </c>
      <c r="C13" s="23">
        <v>2008</v>
      </c>
      <c r="D13" s="23"/>
      <c r="E13" s="23"/>
      <c r="F13" s="23" t="s">
        <v>464</v>
      </c>
      <c r="G13" s="23">
        <v>1443.26</v>
      </c>
      <c r="H13" s="23">
        <v>3</v>
      </c>
      <c r="I13" s="78">
        <f>2903430.66-636482.27</f>
        <v>2266948.39</v>
      </c>
      <c r="J13"/>
      <c r="K13" s="455"/>
    </row>
    <row r="14" spans="1:16" s="1" customFormat="1" x14ac:dyDescent="0.3">
      <c r="A14" s="17" t="s">
        <v>73</v>
      </c>
      <c r="B14" s="23" t="s">
        <v>525</v>
      </c>
      <c r="C14" s="17"/>
      <c r="D14" s="23"/>
      <c r="E14" s="17"/>
      <c r="F14" s="17" t="s">
        <v>481</v>
      </c>
      <c r="G14" s="17">
        <v>406</v>
      </c>
      <c r="H14" s="17">
        <v>1</v>
      </c>
      <c r="I14" s="18">
        <f>C6</f>
        <v>615422.16</v>
      </c>
      <c r="J14"/>
    </row>
    <row r="15" spans="1:16" ht="38.1" customHeight="1" thickBot="1" x14ac:dyDescent="0.35">
      <c r="A15" s="320" t="s">
        <v>607</v>
      </c>
      <c r="B15" s="56"/>
      <c r="D15" s="56"/>
      <c r="I15" s="26"/>
      <c r="K15" s="1"/>
      <c r="L15" s="1"/>
      <c r="M15" s="1"/>
      <c r="N15" s="57"/>
    </row>
    <row r="16" spans="1:16" ht="15" thickBot="1" x14ac:dyDescent="0.35">
      <c r="A16" s="872" t="s">
        <v>37</v>
      </c>
      <c r="B16" s="873"/>
      <c r="C16" s="873"/>
      <c r="D16" s="873"/>
      <c r="E16" s="873"/>
      <c r="F16" s="873"/>
      <c r="G16" s="873"/>
      <c r="H16" s="873"/>
      <c r="I16" s="874"/>
      <c r="J16" s="2"/>
      <c r="K16" s="3" t="s">
        <v>38</v>
      </c>
      <c r="L16" s="4"/>
      <c r="M16" s="64"/>
    </row>
    <row r="17" spans="1:13" ht="69" x14ac:dyDescent="0.3">
      <c r="A17" s="493"/>
      <c r="B17" s="494" t="s">
        <v>40</v>
      </c>
      <c r="C17" s="976" t="s">
        <v>41</v>
      </c>
      <c r="D17" s="977"/>
      <c r="E17" s="978" t="s">
        <v>42</v>
      </c>
      <c r="F17" s="979"/>
      <c r="G17" s="976" t="s">
        <v>43</v>
      </c>
      <c r="H17" s="977"/>
      <c r="I17" s="495" t="s">
        <v>426</v>
      </c>
      <c r="J17" s="495" t="s">
        <v>208</v>
      </c>
      <c r="K17" s="496" t="s">
        <v>45</v>
      </c>
      <c r="L17" s="495" t="s">
        <v>46</v>
      </c>
      <c r="M17" s="496" t="s">
        <v>39</v>
      </c>
    </row>
    <row r="18" spans="1:13" x14ac:dyDescent="0.3">
      <c r="A18" s="497"/>
      <c r="B18" s="498"/>
      <c r="C18" s="499" t="s">
        <v>48</v>
      </c>
      <c r="D18" s="499" t="s">
        <v>49</v>
      </c>
      <c r="E18" s="500" t="s">
        <v>48</v>
      </c>
      <c r="F18" s="500" t="s">
        <v>49</v>
      </c>
      <c r="G18" s="499" t="s">
        <v>48</v>
      </c>
      <c r="H18" s="499" t="s">
        <v>49</v>
      </c>
      <c r="I18" s="500"/>
      <c r="J18" s="501"/>
      <c r="K18" s="499"/>
      <c r="L18" s="499"/>
      <c r="M18" s="502"/>
    </row>
    <row r="19" spans="1:13" x14ac:dyDescent="0.3">
      <c r="A19" s="497"/>
      <c r="B19" s="106" t="s">
        <v>526</v>
      </c>
      <c r="C19" s="70">
        <v>50000</v>
      </c>
      <c r="D19" s="70">
        <v>50000</v>
      </c>
      <c r="E19" s="16">
        <v>10000</v>
      </c>
      <c r="F19" s="70">
        <v>5000</v>
      </c>
      <c r="G19" s="16">
        <v>40000</v>
      </c>
      <c r="H19" s="70">
        <v>40000</v>
      </c>
      <c r="I19" s="16">
        <v>2000</v>
      </c>
      <c r="J19" s="16">
        <v>10000</v>
      </c>
      <c r="K19" s="16">
        <v>0</v>
      </c>
      <c r="L19" s="16">
        <v>0</v>
      </c>
      <c r="M19" s="71">
        <v>2000</v>
      </c>
    </row>
    <row r="20" spans="1:13" ht="15" thickBot="1" x14ac:dyDescent="0.35">
      <c r="A20" s="503"/>
      <c r="B20" s="504" t="s">
        <v>527</v>
      </c>
      <c r="C20" s="403">
        <v>5000</v>
      </c>
      <c r="D20" s="403">
        <v>5000</v>
      </c>
      <c r="E20" s="403">
        <v>5000</v>
      </c>
      <c r="F20" s="403">
        <v>5000</v>
      </c>
      <c r="G20" s="403">
        <v>20000</v>
      </c>
      <c r="H20" s="403">
        <v>5000</v>
      </c>
      <c r="I20" s="403">
        <f>I19</f>
        <v>2000</v>
      </c>
      <c r="J20" s="403">
        <v>5000</v>
      </c>
      <c r="K20" s="505">
        <v>0</v>
      </c>
      <c r="L20" s="505">
        <v>0</v>
      </c>
      <c r="M20" s="506">
        <v>2000</v>
      </c>
    </row>
  </sheetData>
  <mergeCells count="6">
    <mergeCell ref="B3:B4"/>
    <mergeCell ref="M5:M7"/>
    <mergeCell ref="A16:I16"/>
    <mergeCell ref="C17:D17"/>
    <mergeCell ref="E17:F17"/>
    <mergeCell ref="G17:H17"/>
  </mergeCells>
  <pageMargins left="0.25" right="0.22" top="0.74803149606299213" bottom="0.74803149606299213" header="0.31496062992125984" footer="0.31496062992125984"/>
  <pageSetup paperSize="9" scale="7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5164C-FECF-4A09-A1B3-C4F2A2D8DF20}">
  <sheetPr>
    <pageSetUpPr fitToPage="1"/>
  </sheetPr>
  <dimension ref="A1:AA48"/>
  <sheetViews>
    <sheetView topLeftCell="A28" zoomScale="85" zoomScaleNormal="85" workbookViewId="0">
      <selection activeCell="D50" sqref="D50"/>
    </sheetView>
  </sheetViews>
  <sheetFormatPr defaultRowHeight="14.4" x14ac:dyDescent="0.3"/>
  <cols>
    <col min="1" max="1" width="6.109375" customWidth="1"/>
    <col min="2" max="2" width="28.109375" customWidth="1"/>
    <col min="3" max="3" width="13.88671875" customWidth="1"/>
    <col min="4" max="4" width="15.5546875" customWidth="1"/>
    <col min="5" max="5" width="19.33203125" customWidth="1"/>
    <col min="6" max="6" width="16.5546875" customWidth="1"/>
    <col min="7" max="7" width="14.5546875" customWidth="1"/>
    <col min="8" max="8" width="13.44140625" customWidth="1"/>
    <col min="9" max="9" width="14.109375" customWidth="1"/>
    <col min="10" max="10" width="12.88671875" customWidth="1"/>
    <col min="11" max="11" width="14.88671875" customWidth="1"/>
    <col min="12" max="12" width="13.5546875" customWidth="1"/>
    <col min="13" max="13" width="13.44140625" bestFit="1" customWidth="1"/>
    <col min="17" max="17" width="15" customWidth="1"/>
    <col min="27" max="27" width="9.5546875" bestFit="1" customWidth="1"/>
    <col min="257" max="257" width="6.109375" customWidth="1"/>
    <col min="258" max="258" width="28.109375" customWidth="1"/>
    <col min="259" max="259" width="13.88671875" customWidth="1"/>
    <col min="260" max="260" width="14.5546875" customWidth="1"/>
    <col min="261" max="261" width="15.5546875" customWidth="1"/>
    <col min="262" max="262" width="14.5546875" customWidth="1"/>
    <col min="263" max="263" width="16.5546875" customWidth="1"/>
    <col min="264" max="264" width="14.5546875" customWidth="1"/>
    <col min="265" max="265" width="11.5546875" customWidth="1"/>
    <col min="266" max="266" width="12.88671875" customWidth="1"/>
    <col min="267" max="268" width="13.5546875" customWidth="1"/>
    <col min="269" max="269" width="13.44140625" bestFit="1" customWidth="1"/>
    <col min="513" max="513" width="6.109375" customWidth="1"/>
    <col min="514" max="514" width="28.109375" customWidth="1"/>
    <col min="515" max="515" width="13.88671875" customWidth="1"/>
    <col min="516" max="516" width="14.5546875" customWidth="1"/>
    <col min="517" max="517" width="15.5546875" customWidth="1"/>
    <col min="518" max="518" width="14.5546875" customWidth="1"/>
    <col min="519" max="519" width="16.5546875" customWidth="1"/>
    <col min="520" max="520" width="14.5546875" customWidth="1"/>
    <col min="521" max="521" width="11.5546875" customWidth="1"/>
    <col min="522" max="522" width="12.88671875" customWidth="1"/>
    <col min="523" max="524" width="13.5546875" customWidth="1"/>
    <col min="525" max="525" width="13.44140625" bestFit="1" customWidth="1"/>
    <col min="769" max="769" width="6.109375" customWidth="1"/>
    <col min="770" max="770" width="28.109375" customWidth="1"/>
    <col min="771" max="771" width="13.88671875" customWidth="1"/>
    <col min="772" max="772" width="14.5546875" customWidth="1"/>
    <col min="773" max="773" width="15.5546875" customWidth="1"/>
    <col min="774" max="774" width="14.5546875" customWidth="1"/>
    <col min="775" max="775" width="16.5546875" customWidth="1"/>
    <col min="776" max="776" width="14.5546875" customWidth="1"/>
    <col min="777" max="777" width="11.5546875" customWidth="1"/>
    <col min="778" max="778" width="12.88671875" customWidth="1"/>
    <col min="779" max="780" width="13.5546875" customWidth="1"/>
    <col min="781" max="781" width="13.44140625" bestFit="1" customWidth="1"/>
    <col min="1025" max="1025" width="6.109375" customWidth="1"/>
    <col min="1026" max="1026" width="28.109375" customWidth="1"/>
    <col min="1027" max="1027" width="13.88671875" customWidth="1"/>
    <col min="1028" max="1028" width="14.5546875" customWidth="1"/>
    <col min="1029" max="1029" width="15.5546875" customWidth="1"/>
    <col min="1030" max="1030" width="14.5546875" customWidth="1"/>
    <col min="1031" max="1031" width="16.5546875" customWidth="1"/>
    <col min="1032" max="1032" width="14.5546875" customWidth="1"/>
    <col min="1033" max="1033" width="11.5546875" customWidth="1"/>
    <col min="1034" max="1034" width="12.88671875" customWidth="1"/>
    <col min="1035" max="1036" width="13.5546875" customWidth="1"/>
    <col min="1037" max="1037" width="13.44140625" bestFit="1" customWidth="1"/>
    <col min="1281" max="1281" width="6.109375" customWidth="1"/>
    <col min="1282" max="1282" width="28.109375" customWidth="1"/>
    <col min="1283" max="1283" width="13.88671875" customWidth="1"/>
    <col min="1284" max="1284" width="14.5546875" customWidth="1"/>
    <col min="1285" max="1285" width="15.5546875" customWidth="1"/>
    <col min="1286" max="1286" width="14.5546875" customWidth="1"/>
    <col min="1287" max="1287" width="16.5546875" customWidth="1"/>
    <col min="1288" max="1288" width="14.5546875" customWidth="1"/>
    <col min="1289" max="1289" width="11.5546875" customWidth="1"/>
    <col min="1290" max="1290" width="12.88671875" customWidth="1"/>
    <col min="1291" max="1292" width="13.5546875" customWidth="1"/>
    <col min="1293" max="1293" width="13.44140625" bestFit="1" customWidth="1"/>
    <col min="1537" max="1537" width="6.109375" customWidth="1"/>
    <col min="1538" max="1538" width="28.109375" customWidth="1"/>
    <col min="1539" max="1539" width="13.88671875" customWidth="1"/>
    <col min="1540" max="1540" width="14.5546875" customWidth="1"/>
    <col min="1541" max="1541" width="15.5546875" customWidth="1"/>
    <col min="1542" max="1542" width="14.5546875" customWidth="1"/>
    <col min="1543" max="1543" width="16.5546875" customWidth="1"/>
    <col min="1544" max="1544" width="14.5546875" customWidth="1"/>
    <col min="1545" max="1545" width="11.5546875" customWidth="1"/>
    <col min="1546" max="1546" width="12.88671875" customWidth="1"/>
    <col min="1547" max="1548" width="13.5546875" customWidth="1"/>
    <col min="1549" max="1549" width="13.44140625" bestFit="1" customWidth="1"/>
    <col min="1793" max="1793" width="6.109375" customWidth="1"/>
    <col min="1794" max="1794" width="28.109375" customWidth="1"/>
    <col min="1795" max="1795" width="13.88671875" customWidth="1"/>
    <col min="1796" max="1796" width="14.5546875" customWidth="1"/>
    <col min="1797" max="1797" width="15.5546875" customWidth="1"/>
    <col min="1798" max="1798" width="14.5546875" customWidth="1"/>
    <col min="1799" max="1799" width="16.5546875" customWidth="1"/>
    <col min="1800" max="1800" width="14.5546875" customWidth="1"/>
    <col min="1801" max="1801" width="11.5546875" customWidth="1"/>
    <col min="1802" max="1802" width="12.88671875" customWidth="1"/>
    <col min="1803" max="1804" width="13.5546875" customWidth="1"/>
    <col min="1805" max="1805" width="13.44140625" bestFit="1" customWidth="1"/>
    <col min="2049" max="2049" width="6.109375" customWidth="1"/>
    <col min="2050" max="2050" width="28.109375" customWidth="1"/>
    <col min="2051" max="2051" width="13.88671875" customWidth="1"/>
    <col min="2052" max="2052" width="14.5546875" customWidth="1"/>
    <col min="2053" max="2053" width="15.5546875" customWidth="1"/>
    <col min="2054" max="2054" width="14.5546875" customWidth="1"/>
    <col min="2055" max="2055" width="16.5546875" customWidth="1"/>
    <col min="2056" max="2056" width="14.5546875" customWidth="1"/>
    <col min="2057" max="2057" width="11.5546875" customWidth="1"/>
    <col min="2058" max="2058" width="12.88671875" customWidth="1"/>
    <col min="2059" max="2060" width="13.5546875" customWidth="1"/>
    <col min="2061" max="2061" width="13.44140625" bestFit="1" customWidth="1"/>
    <col min="2305" max="2305" width="6.109375" customWidth="1"/>
    <col min="2306" max="2306" width="28.109375" customWidth="1"/>
    <col min="2307" max="2307" width="13.88671875" customWidth="1"/>
    <col min="2308" max="2308" width="14.5546875" customWidth="1"/>
    <col min="2309" max="2309" width="15.5546875" customWidth="1"/>
    <col min="2310" max="2310" width="14.5546875" customWidth="1"/>
    <col min="2311" max="2311" width="16.5546875" customWidth="1"/>
    <col min="2312" max="2312" width="14.5546875" customWidth="1"/>
    <col min="2313" max="2313" width="11.5546875" customWidth="1"/>
    <col min="2314" max="2314" width="12.88671875" customWidth="1"/>
    <col min="2315" max="2316" width="13.5546875" customWidth="1"/>
    <col min="2317" max="2317" width="13.44140625" bestFit="1" customWidth="1"/>
    <col min="2561" max="2561" width="6.109375" customWidth="1"/>
    <col min="2562" max="2562" width="28.109375" customWidth="1"/>
    <col min="2563" max="2563" width="13.88671875" customWidth="1"/>
    <col min="2564" max="2564" width="14.5546875" customWidth="1"/>
    <col min="2565" max="2565" width="15.5546875" customWidth="1"/>
    <col min="2566" max="2566" width="14.5546875" customWidth="1"/>
    <col min="2567" max="2567" width="16.5546875" customWidth="1"/>
    <col min="2568" max="2568" width="14.5546875" customWidth="1"/>
    <col min="2569" max="2569" width="11.5546875" customWidth="1"/>
    <col min="2570" max="2570" width="12.88671875" customWidth="1"/>
    <col min="2571" max="2572" width="13.5546875" customWidth="1"/>
    <col min="2573" max="2573" width="13.44140625" bestFit="1" customWidth="1"/>
    <col min="2817" max="2817" width="6.109375" customWidth="1"/>
    <col min="2818" max="2818" width="28.109375" customWidth="1"/>
    <col min="2819" max="2819" width="13.88671875" customWidth="1"/>
    <col min="2820" max="2820" width="14.5546875" customWidth="1"/>
    <col min="2821" max="2821" width="15.5546875" customWidth="1"/>
    <col min="2822" max="2822" width="14.5546875" customWidth="1"/>
    <col min="2823" max="2823" width="16.5546875" customWidth="1"/>
    <col min="2824" max="2824" width="14.5546875" customWidth="1"/>
    <col min="2825" max="2825" width="11.5546875" customWidth="1"/>
    <col min="2826" max="2826" width="12.88671875" customWidth="1"/>
    <col min="2827" max="2828" width="13.5546875" customWidth="1"/>
    <col min="2829" max="2829" width="13.44140625" bestFit="1" customWidth="1"/>
    <col min="3073" max="3073" width="6.109375" customWidth="1"/>
    <col min="3074" max="3074" width="28.109375" customWidth="1"/>
    <col min="3075" max="3075" width="13.88671875" customWidth="1"/>
    <col min="3076" max="3076" width="14.5546875" customWidth="1"/>
    <col min="3077" max="3077" width="15.5546875" customWidth="1"/>
    <col min="3078" max="3078" width="14.5546875" customWidth="1"/>
    <col min="3079" max="3079" width="16.5546875" customWidth="1"/>
    <col min="3080" max="3080" width="14.5546875" customWidth="1"/>
    <col min="3081" max="3081" width="11.5546875" customWidth="1"/>
    <col min="3082" max="3082" width="12.88671875" customWidth="1"/>
    <col min="3083" max="3084" width="13.5546875" customWidth="1"/>
    <col min="3085" max="3085" width="13.44140625" bestFit="1" customWidth="1"/>
    <col min="3329" max="3329" width="6.109375" customWidth="1"/>
    <col min="3330" max="3330" width="28.109375" customWidth="1"/>
    <col min="3331" max="3331" width="13.88671875" customWidth="1"/>
    <col min="3332" max="3332" width="14.5546875" customWidth="1"/>
    <col min="3333" max="3333" width="15.5546875" customWidth="1"/>
    <col min="3334" max="3334" width="14.5546875" customWidth="1"/>
    <col min="3335" max="3335" width="16.5546875" customWidth="1"/>
    <col min="3336" max="3336" width="14.5546875" customWidth="1"/>
    <col min="3337" max="3337" width="11.5546875" customWidth="1"/>
    <col min="3338" max="3338" width="12.88671875" customWidth="1"/>
    <col min="3339" max="3340" width="13.5546875" customWidth="1"/>
    <col min="3341" max="3341" width="13.44140625" bestFit="1" customWidth="1"/>
    <col min="3585" max="3585" width="6.109375" customWidth="1"/>
    <col min="3586" max="3586" width="28.109375" customWidth="1"/>
    <col min="3587" max="3587" width="13.88671875" customWidth="1"/>
    <col min="3588" max="3588" width="14.5546875" customWidth="1"/>
    <col min="3589" max="3589" width="15.5546875" customWidth="1"/>
    <col min="3590" max="3590" width="14.5546875" customWidth="1"/>
    <col min="3591" max="3591" width="16.5546875" customWidth="1"/>
    <col min="3592" max="3592" width="14.5546875" customWidth="1"/>
    <col min="3593" max="3593" width="11.5546875" customWidth="1"/>
    <col min="3594" max="3594" width="12.88671875" customWidth="1"/>
    <col min="3595" max="3596" width="13.5546875" customWidth="1"/>
    <col min="3597" max="3597" width="13.44140625" bestFit="1" customWidth="1"/>
    <col min="3841" max="3841" width="6.109375" customWidth="1"/>
    <col min="3842" max="3842" width="28.109375" customWidth="1"/>
    <col min="3843" max="3843" width="13.88671875" customWidth="1"/>
    <col min="3844" max="3844" width="14.5546875" customWidth="1"/>
    <col min="3845" max="3845" width="15.5546875" customWidth="1"/>
    <col min="3846" max="3846" width="14.5546875" customWidth="1"/>
    <col min="3847" max="3847" width="16.5546875" customWidth="1"/>
    <col min="3848" max="3848" width="14.5546875" customWidth="1"/>
    <col min="3849" max="3849" width="11.5546875" customWidth="1"/>
    <col min="3850" max="3850" width="12.88671875" customWidth="1"/>
    <col min="3851" max="3852" width="13.5546875" customWidth="1"/>
    <col min="3853" max="3853" width="13.44140625" bestFit="1" customWidth="1"/>
    <col min="4097" max="4097" width="6.109375" customWidth="1"/>
    <col min="4098" max="4098" width="28.109375" customWidth="1"/>
    <col min="4099" max="4099" width="13.88671875" customWidth="1"/>
    <col min="4100" max="4100" width="14.5546875" customWidth="1"/>
    <col min="4101" max="4101" width="15.5546875" customWidth="1"/>
    <col min="4102" max="4102" width="14.5546875" customWidth="1"/>
    <col min="4103" max="4103" width="16.5546875" customWidth="1"/>
    <col min="4104" max="4104" width="14.5546875" customWidth="1"/>
    <col min="4105" max="4105" width="11.5546875" customWidth="1"/>
    <col min="4106" max="4106" width="12.88671875" customWidth="1"/>
    <col min="4107" max="4108" width="13.5546875" customWidth="1"/>
    <col min="4109" max="4109" width="13.44140625" bestFit="1" customWidth="1"/>
    <col min="4353" max="4353" width="6.109375" customWidth="1"/>
    <col min="4354" max="4354" width="28.109375" customWidth="1"/>
    <col min="4355" max="4355" width="13.88671875" customWidth="1"/>
    <col min="4356" max="4356" width="14.5546875" customWidth="1"/>
    <col min="4357" max="4357" width="15.5546875" customWidth="1"/>
    <col min="4358" max="4358" width="14.5546875" customWidth="1"/>
    <col min="4359" max="4359" width="16.5546875" customWidth="1"/>
    <col min="4360" max="4360" width="14.5546875" customWidth="1"/>
    <col min="4361" max="4361" width="11.5546875" customWidth="1"/>
    <col min="4362" max="4362" width="12.88671875" customWidth="1"/>
    <col min="4363" max="4364" width="13.5546875" customWidth="1"/>
    <col min="4365" max="4365" width="13.44140625" bestFit="1" customWidth="1"/>
    <col min="4609" max="4609" width="6.109375" customWidth="1"/>
    <col min="4610" max="4610" width="28.109375" customWidth="1"/>
    <col min="4611" max="4611" width="13.88671875" customWidth="1"/>
    <col min="4612" max="4612" width="14.5546875" customWidth="1"/>
    <col min="4613" max="4613" width="15.5546875" customWidth="1"/>
    <col min="4614" max="4614" width="14.5546875" customWidth="1"/>
    <col min="4615" max="4615" width="16.5546875" customWidth="1"/>
    <col min="4616" max="4616" width="14.5546875" customWidth="1"/>
    <col min="4617" max="4617" width="11.5546875" customWidth="1"/>
    <col min="4618" max="4618" width="12.88671875" customWidth="1"/>
    <col min="4619" max="4620" width="13.5546875" customWidth="1"/>
    <col min="4621" max="4621" width="13.44140625" bestFit="1" customWidth="1"/>
    <col min="4865" max="4865" width="6.109375" customWidth="1"/>
    <col min="4866" max="4866" width="28.109375" customWidth="1"/>
    <col min="4867" max="4867" width="13.88671875" customWidth="1"/>
    <col min="4868" max="4868" width="14.5546875" customWidth="1"/>
    <col min="4869" max="4869" width="15.5546875" customWidth="1"/>
    <col min="4870" max="4870" width="14.5546875" customWidth="1"/>
    <col min="4871" max="4871" width="16.5546875" customWidth="1"/>
    <col min="4872" max="4872" width="14.5546875" customWidth="1"/>
    <col min="4873" max="4873" width="11.5546875" customWidth="1"/>
    <col min="4874" max="4874" width="12.88671875" customWidth="1"/>
    <col min="4875" max="4876" width="13.5546875" customWidth="1"/>
    <col min="4877" max="4877" width="13.44140625" bestFit="1" customWidth="1"/>
    <col min="5121" max="5121" width="6.109375" customWidth="1"/>
    <col min="5122" max="5122" width="28.109375" customWidth="1"/>
    <col min="5123" max="5123" width="13.88671875" customWidth="1"/>
    <col min="5124" max="5124" width="14.5546875" customWidth="1"/>
    <col min="5125" max="5125" width="15.5546875" customWidth="1"/>
    <col min="5126" max="5126" width="14.5546875" customWidth="1"/>
    <col min="5127" max="5127" width="16.5546875" customWidth="1"/>
    <col min="5128" max="5128" width="14.5546875" customWidth="1"/>
    <col min="5129" max="5129" width="11.5546875" customWidth="1"/>
    <col min="5130" max="5130" width="12.88671875" customWidth="1"/>
    <col min="5131" max="5132" width="13.5546875" customWidth="1"/>
    <col min="5133" max="5133" width="13.44140625" bestFit="1" customWidth="1"/>
    <col min="5377" max="5377" width="6.109375" customWidth="1"/>
    <col min="5378" max="5378" width="28.109375" customWidth="1"/>
    <col min="5379" max="5379" width="13.88671875" customWidth="1"/>
    <col min="5380" max="5380" width="14.5546875" customWidth="1"/>
    <col min="5381" max="5381" width="15.5546875" customWidth="1"/>
    <col min="5382" max="5382" width="14.5546875" customWidth="1"/>
    <col min="5383" max="5383" width="16.5546875" customWidth="1"/>
    <col min="5384" max="5384" width="14.5546875" customWidth="1"/>
    <col min="5385" max="5385" width="11.5546875" customWidth="1"/>
    <col min="5386" max="5386" width="12.88671875" customWidth="1"/>
    <col min="5387" max="5388" width="13.5546875" customWidth="1"/>
    <col min="5389" max="5389" width="13.44140625" bestFit="1" customWidth="1"/>
    <col min="5633" max="5633" width="6.109375" customWidth="1"/>
    <col min="5634" max="5634" width="28.109375" customWidth="1"/>
    <col min="5635" max="5635" width="13.88671875" customWidth="1"/>
    <col min="5636" max="5636" width="14.5546875" customWidth="1"/>
    <col min="5637" max="5637" width="15.5546875" customWidth="1"/>
    <col min="5638" max="5638" width="14.5546875" customWidth="1"/>
    <col min="5639" max="5639" width="16.5546875" customWidth="1"/>
    <col min="5640" max="5640" width="14.5546875" customWidth="1"/>
    <col min="5641" max="5641" width="11.5546875" customWidth="1"/>
    <col min="5642" max="5642" width="12.88671875" customWidth="1"/>
    <col min="5643" max="5644" width="13.5546875" customWidth="1"/>
    <col min="5645" max="5645" width="13.44140625" bestFit="1" customWidth="1"/>
    <col min="5889" max="5889" width="6.109375" customWidth="1"/>
    <col min="5890" max="5890" width="28.109375" customWidth="1"/>
    <col min="5891" max="5891" width="13.88671875" customWidth="1"/>
    <col min="5892" max="5892" width="14.5546875" customWidth="1"/>
    <col min="5893" max="5893" width="15.5546875" customWidth="1"/>
    <col min="5894" max="5894" width="14.5546875" customWidth="1"/>
    <col min="5895" max="5895" width="16.5546875" customWidth="1"/>
    <col min="5896" max="5896" width="14.5546875" customWidth="1"/>
    <col min="5897" max="5897" width="11.5546875" customWidth="1"/>
    <col min="5898" max="5898" width="12.88671875" customWidth="1"/>
    <col min="5899" max="5900" width="13.5546875" customWidth="1"/>
    <col min="5901" max="5901" width="13.44140625" bestFit="1" customWidth="1"/>
    <col min="6145" max="6145" width="6.109375" customWidth="1"/>
    <col min="6146" max="6146" width="28.109375" customWidth="1"/>
    <col min="6147" max="6147" width="13.88671875" customWidth="1"/>
    <col min="6148" max="6148" width="14.5546875" customWidth="1"/>
    <col min="6149" max="6149" width="15.5546875" customWidth="1"/>
    <col min="6150" max="6150" width="14.5546875" customWidth="1"/>
    <col min="6151" max="6151" width="16.5546875" customWidth="1"/>
    <col min="6152" max="6152" width="14.5546875" customWidth="1"/>
    <col min="6153" max="6153" width="11.5546875" customWidth="1"/>
    <col min="6154" max="6154" width="12.88671875" customWidth="1"/>
    <col min="6155" max="6156" width="13.5546875" customWidth="1"/>
    <col min="6157" max="6157" width="13.44140625" bestFit="1" customWidth="1"/>
    <col min="6401" max="6401" width="6.109375" customWidth="1"/>
    <col min="6402" max="6402" width="28.109375" customWidth="1"/>
    <col min="6403" max="6403" width="13.88671875" customWidth="1"/>
    <col min="6404" max="6404" width="14.5546875" customWidth="1"/>
    <col min="6405" max="6405" width="15.5546875" customWidth="1"/>
    <col min="6406" max="6406" width="14.5546875" customWidth="1"/>
    <col min="6407" max="6407" width="16.5546875" customWidth="1"/>
    <col min="6408" max="6408" width="14.5546875" customWidth="1"/>
    <col min="6409" max="6409" width="11.5546875" customWidth="1"/>
    <col min="6410" max="6410" width="12.88671875" customWidth="1"/>
    <col min="6411" max="6412" width="13.5546875" customWidth="1"/>
    <col min="6413" max="6413" width="13.44140625" bestFit="1" customWidth="1"/>
    <col min="6657" max="6657" width="6.109375" customWidth="1"/>
    <col min="6658" max="6658" width="28.109375" customWidth="1"/>
    <col min="6659" max="6659" width="13.88671875" customWidth="1"/>
    <col min="6660" max="6660" width="14.5546875" customWidth="1"/>
    <col min="6661" max="6661" width="15.5546875" customWidth="1"/>
    <col min="6662" max="6662" width="14.5546875" customWidth="1"/>
    <col min="6663" max="6663" width="16.5546875" customWidth="1"/>
    <col min="6664" max="6664" width="14.5546875" customWidth="1"/>
    <col min="6665" max="6665" width="11.5546875" customWidth="1"/>
    <col min="6666" max="6666" width="12.88671875" customWidth="1"/>
    <col min="6667" max="6668" width="13.5546875" customWidth="1"/>
    <col min="6669" max="6669" width="13.44140625" bestFit="1" customWidth="1"/>
    <col min="6913" max="6913" width="6.109375" customWidth="1"/>
    <col min="6914" max="6914" width="28.109375" customWidth="1"/>
    <col min="6915" max="6915" width="13.88671875" customWidth="1"/>
    <col min="6916" max="6916" width="14.5546875" customWidth="1"/>
    <col min="6917" max="6917" width="15.5546875" customWidth="1"/>
    <col min="6918" max="6918" width="14.5546875" customWidth="1"/>
    <col min="6919" max="6919" width="16.5546875" customWidth="1"/>
    <col min="6920" max="6920" width="14.5546875" customWidth="1"/>
    <col min="6921" max="6921" width="11.5546875" customWidth="1"/>
    <col min="6922" max="6922" width="12.88671875" customWidth="1"/>
    <col min="6923" max="6924" width="13.5546875" customWidth="1"/>
    <col min="6925" max="6925" width="13.44140625" bestFit="1" customWidth="1"/>
    <col min="7169" max="7169" width="6.109375" customWidth="1"/>
    <col min="7170" max="7170" width="28.109375" customWidth="1"/>
    <col min="7171" max="7171" width="13.88671875" customWidth="1"/>
    <col min="7172" max="7172" width="14.5546875" customWidth="1"/>
    <col min="7173" max="7173" width="15.5546875" customWidth="1"/>
    <col min="7174" max="7174" width="14.5546875" customWidth="1"/>
    <col min="7175" max="7175" width="16.5546875" customWidth="1"/>
    <col min="7176" max="7176" width="14.5546875" customWidth="1"/>
    <col min="7177" max="7177" width="11.5546875" customWidth="1"/>
    <col min="7178" max="7178" width="12.88671875" customWidth="1"/>
    <col min="7179" max="7180" width="13.5546875" customWidth="1"/>
    <col min="7181" max="7181" width="13.44140625" bestFit="1" customWidth="1"/>
    <col min="7425" max="7425" width="6.109375" customWidth="1"/>
    <col min="7426" max="7426" width="28.109375" customWidth="1"/>
    <col min="7427" max="7427" width="13.88671875" customWidth="1"/>
    <col min="7428" max="7428" width="14.5546875" customWidth="1"/>
    <col min="7429" max="7429" width="15.5546875" customWidth="1"/>
    <col min="7430" max="7430" width="14.5546875" customWidth="1"/>
    <col min="7431" max="7431" width="16.5546875" customWidth="1"/>
    <col min="7432" max="7432" width="14.5546875" customWidth="1"/>
    <col min="7433" max="7433" width="11.5546875" customWidth="1"/>
    <col min="7434" max="7434" width="12.88671875" customWidth="1"/>
    <col min="7435" max="7436" width="13.5546875" customWidth="1"/>
    <col min="7437" max="7437" width="13.44140625" bestFit="1" customWidth="1"/>
    <col min="7681" max="7681" width="6.109375" customWidth="1"/>
    <col min="7682" max="7682" width="28.109375" customWidth="1"/>
    <col min="7683" max="7683" width="13.88671875" customWidth="1"/>
    <col min="7684" max="7684" width="14.5546875" customWidth="1"/>
    <col min="7685" max="7685" width="15.5546875" customWidth="1"/>
    <col min="7686" max="7686" width="14.5546875" customWidth="1"/>
    <col min="7687" max="7687" width="16.5546875" customWidth="1"/>
    <col min="7688" max="7688" width="14.5546875" customWidth="1"/>
    <col min="7689" max="7689" width="11.5546875" customWidth="1"/>
    <col min="7690" max="7690" width="12.88671875" customWidth="1"/>
    <col min="7691" max="7692" width="13.5546875" customWidth="1"/>
    <col min="7693" max="7693" width="13.44140625" bestFit="1" customWidth="1"/>
    <col min="7937" max="7937" width="6.109375" customWidth="1"/>
    <col min="7938" max="7938" width="28.109375" customWidth="1"/>
    <col min="7939" max="7939" width="13.88671875" customWidth="1"/>
    <col min="7940" max="7940" width="14.5546875" customWidth="1"/>
    <col min="7941" max="7941" width="15.5546875" customWidth="1"/>
    <col min="7942" max="7942" width="14.5546875" customWidth="1"/>
    <col min="7943" max="7943" width="16.5546875" customWidth="1"/>
    <col min="7944" max="7944" width="14.5546875" customWidth="1"/>
    <col min="7945" max="7945" width="11.5546875" customWidth="1"/>
    <col min="7946" max="7946" width="12.88671875" customWidth="1"/>
    <col min="7947" max="7948" width="13.5546875" customWidth="1"/>
    <col min="7949" max="7949" width="13.44140625" bestFit="1" customWidth="1"/>
    <col min="8193" max="8193" width="6.109375" customWidth="1"/>
    <col min="8194" max="8194" width="28.109375" customWidth="1"/>
    <col min="8195" max="8195" width="13.88671875" customWidth="1"/>
    <col min="8196" max="8196" width="14.5546875" customWidth="1"/>
    <col min="8197" max="8197" width="15.5546875" customWidth="1"/>
    <col min="8198" max="8198" width="14.5546875" customWidth="1"/>
    <col min="8199" max="8199" width="16.5546875" customWidth="1"/>
    <col min="8200" max="8200" width="14.5546875" customWidth="1"/>
    <col min="8201" max="8201" width="11.5546875" customWidth="1"/>
    <col min="8202" max="8202" width="12.88671875" customWidth="1"/>
    <col min="8203" max="8204" width="13.5546875" customWidth="1"/>
    <col min="8205" max="8205" width="13.44140625" bestFit="1" customWidth="1"/>
    <col min="8449" max="8449" width="6.109375" customWidth="1"/>
    <col min="8450" max="8450" width="28.109375" customWidth="1"/>
    <col min="8451" max="8451" width="13.88671875" customWidth="1"/>
    <col min="8452" max="8452" width="14.5546875" customWidth="1"/>
    <col min="8453" max="8453" width="15.5546875" customWidth="1"/>
    <col min="8454" max="8454" width="14.5546875" customWidth="1"/>
    <col min="8455" max="8455" width="16.5546875" customWidth="1"/>
    <col min="8456" max="8456" width="14.5546875" customWidth="1"/>
    <col min="8457" max="8457" width="11.5546875" customWidth="1"/>
    <col min="8458" max="8458" width="12.88671875" customWidth="1"/>
    <col min="8459" max="8460" width="13.5546875" customWidth="1"/>
    <col min="8461" max="8461" width="13.44140625" bestFit="1" customWidth="1"/>
    <col min="8705" max="8705" width="6.109375" customWidth="1"/>
    <col min="8706" max="8706" width="28.109375" customWidth="1"/>
    <col min="8707" max="8707" width="13.88671875" customWidth="1"/>
    <col min="8708" max="8708" width="14.5546875" customWidth="1"/>
    <col min="8709" max="8709" width="15.5546875" customWidth="1"/>
    <col min="8710" max="8710" width="14.5546875" customWidth="1"/>
    <col min="8711" max="8711" width="16.5546875" customWidth="1"/>
    <col min="8712" max="8712" width="14.5546875" customWidth="1"/>
    <col min="8713" max="8713" width="11.5546875" customWidth="1"/>
    <col min="8714" max="8714" width="12.88671875" customWidth="1"/>
    <col min="8715" max="8716" width="13.5546875" customWidth="1"/>
    <col min="8717" max="8717" width="13.44140625" bestFit="1" customWidth="1"/>
    <col min="8961" max="8961" width="6.109375" customWidth="1"/>
    <col min="8962" max="8962" width="28.109375" customWidth="1"/>
    <col min="8963" max="8963" width="13.88671875" customWidth="1"/>
    <col min="8964" max="8964" width="14.5546875" customWidth="1"/>
    <col min="8965" max="8965" width="15.5546875" customWidth="1"/>
    <col min="8966" max="8966" width="14.5546875" customWidth="1"/>
    <col min="8967" max="8967" width="16.5546875" customWidth="1"/>
    <col min="8968" max="8968" width="14.5546875" customWidth="1"/>
    <col min="8969" max="8969" width="11.5546875" customWidth="1"/>
    <col min="8970" max="8970" width="12.88671875" customWidth="1"/>
    <col min="8971" max="8972" width="13.5546875" customWidth="1"/>
    <col min="8973" max="8973" width="13.44140625" bestFit="1" customWidth="1"/>
    <col min="9217" max="9217" width="6.109375" customWidth="1"/>
    <col min="9218" max="9218" width="28.109375" customWidth="1"/>
    <col min="9219" max="9219" width="13.88671875" customWidth="1"/>
    <col min="9220" max="9220" width="14.5546875" customWidth="1"/>
    <col min="9221" max="9221" width="15.5546875" customWidth="1"/>
    <col min="9222" max="9222" width="14.5546875" customWidth="1"/>
    <col min="9223" max="9223" width="16.5546875" customWidth="1"/>
    <col min="9224" max="9224" width="14.5546875" customWidth="1"/>
    <col min="9225" max="9225" width="11.5546875" customWidth="1"/>
    <col min="9226" max="9226" width="12.88671875" customWidth="1"/>
    <col min="9227" max="9228" width="13.5546875" customWidth="1"/>
    <col min="9229" max="9229" width="13.44140625" bestFit="1" customWidth="1"/>
    <col min="9473" max="9473" width="6.109375" customWidth="1"/>
    <col min="9474" max="9474" width="28.109375" customWidth="1"/>
    <col min="9475" max="9475" width="13.88671875" customWidth="1"/>
    <col min="9476" max="9476" width="14.5546875" customWidth="1"/>
    <col min="9477" max="9477" width="15.5546875" customWidth="1"/>
    <col min="9478" max="9478" width="14.5546875" customWidth="1"/>
    <col min="9479" max="9479" width="16.5546875" customWidth="1"/>
    <col min="9480" max="9480" width="14.5546875" customWidth="1"/>
    <col min="9481" max="9481" width="11.5546875" customWidth="1"/>
    <col min="9482" max="9482" width="12.88671875" customWidth="1"/>
    <col min="9483" max="9484" width="13.5546875" customWidth="1"/>
    <col min="9485" max="9485" width="13.44140625" bestFit="1" customWidth="1"/>
    <col min="9729" max="9729" width="6.109375" customWidth="1"/>
    <col min="9730" max="9730" width="28.109375" customWidth="1"/>
    <col min="9731" max="9731" width="13.88671875" customWidth="1"/>
    <col min="9732" max="9732" width="14.5546875" customWidth="1"/>
    <col min="9733" max="9733" width="15.5546875" customWidth="1"/>
    <col min="9734" max="9734" width="14.5546875" customWidth="1"/>
    <col min="9735" max="9735" width="16.5546875" customWidth="1"/>
    <col min="9736" max="9736" width="14.5546875" customWidth="1"/>
    <col min="9737" max="9737" width="11.5546875" customWidth="1"/>
    <col min="9738" max="9738" width="12.88671875" customWidth="1"/>
    <col min="9739" max="9740" width="13.5546875" customWidth="1"/>
    <col min="9741" max="9741" width="13.44140625" bestFit="1" customWidth="1"/>
    <col min="9985" max="9985" width="6.109375" customWidth="1"/>
    <col min="9986" max="9986" width="28.109375" customWidth="1"/>
    <col min="9987" max="9987" width="13.88671875" customWidth="1"/>
    <col min="9988" max="9988" width="14.5546875" customWidth="1"/>
    <col min="9989" max="9989" width="15.5546875" customWidth="1"/>
    <col min="9990" max="9990" width="14.5546875" customWidth="1"/>
    <col min="9991" max="9991" width="16.5546875" customWidth="1"/>
    <col min="9992" max="9992" width="14.5546875" customWidth="1"/>
    <col min="9993" max="9993" width="11.5546875" customWidth="1"/>
    <col min="9994" max="9994" width="12.88671875" customWidth="1"/>
    <col min="9995" max="9996" width="13.5546875" customWidth="1"/>
    <col min="9997" max="9997" width="13.44140625" bestFit="1" customWidth="1"/>
    <col min="10241" max="10241" width="6.109375" customWidth="1"/>
    <col min="10242" max="10242" width="28.109375" customWidth="1"/>
    <col min="10243" max="10243" width="13.88671875" customWidth="1"/>
    <col min="10244" max="10244" width="14.5546875" customWidth="1"/>
    <col min="10245" max="10245" width="15.5546875" customWidth="1"/>
    <col min="10246" max="10246" width="14.5546875" customWidth="1"/>
    <col min="10247" max="10247" width="16.5546875" customWidth="1"/>
    <col min="10248" max="10248" width="14.5546875" customWidth="1"/>
    <col min="10249" max="10249" width="11.5546875" customWidth="1"/>
    <col min="10250" max="10250" width="12.88671875" customWidth="1"/>
    <col min="10251" max="10252" width="13.5546875" customWidth="1"/>
    <col min="10253" max="10253" width="13.44140625" bestFit="1" customWidth="1"/>
    <col min="10497" max="10497" width="6.109375" customWidth="1"/>
    <col min="10498" max="10498" width="28.109375" customWidth="1"/>
    <col min="10499" max="10499" width="13.88671875" customWidth="1"/>
    <col min="10500" max="10500" width="14.5546875" customWidth="1"/>
    <col min="10501" max="10501" width="15.5546875" customWidth="1"/>
    <col min="10502" max="10502" width="14.5546875" customWidth="1"/>
    <col min="10503" max="10503" width="16.5546875" customWidth="1"/>
    <col min="10504" max="10504" width="14.5546875" customWidth="1"/>
    <col min="10505" max="10505" width="11.5546875" customWidth="1"/>
    <col min="10506" max="10506" width="12.88671875" customWidth="1"/>
    <col min="10507" max="10508" width="13.5546875" customWidth="1"/>
    <col min="10509" max="10509" width="13.44140625" bestFit="1" customWidth="1"/>
    <col min="10753" max="10753" width="6.109375" customWidth="1"/>
    <col min="10754" max="10754" width="28.109375" customWidth="1"/>
    <col min="10755" max="10755" width="13.88671875" customWidth="1"/>
    <col min="10756" max="10756" width="14.5546875" customWidth="1"/>
    <col min="10757" max="10757" width="15.5546875" customWidth="1"/>
    <col min="10758" max="10758" width="14.5546875" customWidth="1"/>
    <col min="10759" max="10759" width="16.5546875" customWidth="1"/>
    <col min="10760" max="10760" width="14.5546875" customWidth="1"/>
    <col min="10761" max="10761" width="11.5546875" customWidth="1"/>
    <col min="10762" max="10762" width="12.88671875" customWidth="1"/>
    <col min="10763" max="10764" width="13.5546875" customWidth="1"/>
    <col min="10765" max="10765" width="13.44140625" bestFit="1" customWidth="1"/>
    <col min="11009" max="11009" width="6.109375" customWidth="1"/>
    <col min="11010" max="11010" width="28.109375" customWidth="1"/>
    <col min="11011" max="11011" width="13.88671875" customWidth="1"/>
    <col min="11012" max="11012" width="14.5546875" customWidth="1"/>
    <col min="11013" max="11013" width="15.5546875" customWidth="1"/>
    <col min="11014" max="11014" width="14.5546875" customWidth="1"/>
    <col min="11015" max="11015" width="16.5546875" customWidth="1"/>
    <col min="11016" max="11016" width="14.5546875" customWidth="1"/>
    <col min="11017" max="11017" width="11.5546875" customWidth="1"/>
    <col min="11018" max="11018" width="12.88671875" customWidth="1"/>
    <col min="11019" max="11020" width="13.5546875" customWidth="1"/>
    <col min="11021" max="11021" width="13.44140625" bestFit="1" customWidth="1"/>
    <col min="11265" max="11265" width="6.109375" customWidth="1"/>
    <col min="11266" max="11266" width="28.109375" customWidth="1"/>
    <col min="11267" max="11267" width="13.88671875" customWidth="1"/>
    <col min="11268" max="11268" width="14.5546875" customWidth="1"/>
    <col min="11269" max="11269" width="15.5546875" customWidth="1"/>
    <col min="11270" max="11270" width="14.5546875" customWidth="1"/>
    <col min="11271" max="11271" width="16.5546875" customWidth="1"/>
    <col min="11272" max="11272" width="14.5546875" customWidth="1"/>
    <col min="11273" max="11273" width="11.5546875" customWidth="1"/>
    <col min="11274" max="11274" width="12.88671875" customWidth="1"/>
    <col min="11275" max="11276" width="13.5546875" customWidth="1"/>
    <col min="11277" max="11277" width="13.44140625" bestFit="1" customWidth="1"/>
    <col min="11521" max="11521" width="6.109375" customWidth="1"/>
    <col min="11522" max="11522" width="28.109375" customWidth="1"/>
    <col min="11523" max="11523" width="13.88671875" customWidth="1"/>
    <col min="11524" max="11524" width="14.5546875" customWidth="1"/>
    <col min="11525" max="11525" width="15.5546875" customWidth="1"/>
    <col min="11526" max="11526" width="14.5546875" customWidth="1"/>
    <col min="11527" max="11527" width="16.5546875" customWidth="1"/>
    <col min="11528" max="11528" width="14.5546875" customWidth="1"/>
    <col min="11529" max="11529" width="11.5546875" customWidth="1"/>
    <col min="11530" max="11530" width="12.88671875" customWidth="1"/>
    <col min="11531" max="11532" width="13.5546875" customWidth="1"/>
    <col min="11533" max="11533" width="13.44140625" bestFit="1" customWidth="1"/>
    <col min="11777" max="11777" width="6.109375" customWidth="1"/>
    <col min="11778" max="11778" width="28.109375" customWidth="1"/>
    <col min="11779" max="11779" width="13.88671875" customWidth="1"/>
    <col min="11780" max="11780" width="14.5546875" customWidth="1"/>
    <col min="11781" max="11781" width="15.5546875" customWidth="1"/>
    <col min="11782" max="11782" width="14.5546875" customWidth="1"/>
    <col min="11783" max="11783" width="16.5546875" customWidth="1"/>
    <col min="11784" max="11784" width="14.5546875" customWidth="1"/>
    <col min="11785" max="11785" width="11.5546875" customWidth="1"/>
    <col min="11786" max="11786" width="12.88671875" customWidth="1"/>
    <col min="11787" max="11788" width="13.5546875" customWidth="1"/>
    <col min="11789" max="11789" width="13.44140625" bestFit="1" customWidth="1"/>
    <col min="12033" max="12033" width="6.109375" customWidth="1"/>
    <col min="12034" max="12034" width="28.109375" customWidth="1"/>
    <col min="12035" max="12035" width="13.88671875" customWidth="1"/>
    <col min="12036" max="12036" width="14.5546875" customWidth="1"/>
    <col min="12037" max="12037" width="15.5546875" customWidth="1"/>
    <col min="12038" max="12038" width="14.5546875" customWidth="1"/>
    <col min="12039" max="12039" width="16.5546875" customWidth="1"/>
    <col min="12040" max="12040" width="14.5546875" customWidth="1"/>
    <col min="12041" max="12041" width="11.5546875" customWidth="1"/>
    <col min="12042" max="12042" width="12.88671875" customWidth="1"/>
    <col min="12043" max="12044" width="13.5546875" customWidth="1"/>
    <col min="12045" max="12045" width="13.44140625" bestFit="1" customWidth="1"/>
    <col min="12289" max="12289" width="6.109375" customWidth="1"/>
    <col min="12290" max="12290" width="28.109375" customWidth="1"/>
    <col min="12291" max="12291" width="13.88671875" customWidth="1"/>
    <col min="12292" max="12292" width="14.5546875" customWidth="1"/>
    <col min="12293" max="12293" width="15.5546875" customWidth="1"/>
    <col min="12294" max="12294" width="14.5546875" customWidth="1"/>
    <col min="12295" max="12295" width="16.5546875" customWidth="1"/>
    <col min="12296" max="12296" width="14.5546875" customWidth="1"/>
    <col min="12297" max="12297" width="11.5546875" customWidth="1"/>
    <col min="12298" max="12298" width="12.88671875" customWidth="1"/>
    <col min="12299" max="12300" width="13.5546875" customWidth="1"/>
    <col min="12301" max="12301" width="13.44140625" bestFit="1" customWidth="1"/>
    <col min="12545" max="12545" width="6.109375" customWidth="1"/>
    <col min="12546" max="12546" width="28.109375" customWidth="1"/>
    <col min="12547" max="12547" width="13.88671875" customWidth="1"/>
    <col min="12548" max="12548" width="14.5546875" customWidth="1"/>
    <col min="12549" max="12549" width="15.5546875" customWidth="1"/>
    <col min="12550" max="12550" width="14.5546875" customWidth="1"/>
    <col min="12551" max="12551" width="16.5546875" customWidth="1"/>
    <col min="12552" max="12552" width="14.5546875" customWidth="1"/>
    <col min="12553" max="12553" width="11.5546875" customWidth="1"/>
    <col min="12554" max="12554" width="12.88671875" customWidth="1"/>
    <col min="12555" max="12556" width="13.5546875" customWidth="1"/>
    <col min="12557" max="12557" width="13.44140625" bestFit="1" customWidth="1"/>
    <col min="12801" max="12801" width="6.109375" customWidth="1"/>
    <col min="12802" max="12802" width="28.109375" customWidth="1"/>
    <col min="12803" max="12803" width="13.88671875" customWidth="1"/>
    <col min="12804" max="12804" width="14.5546875" customWidth="1"/>
    <col min="12805" max="12805" width="15.5546875" customWidth="1"/>
    <col min="12806" max="12806" width="14.5546875" customWidth="1"/>
    <col min="12807" max="12807" width="16.5546875" customWidth="1"/>
    <col min="12808" max="12808" width="14.5546875" customWidth="1"/>
    <col min="12809" max="12809" width="11.5546875" customWidth="1"/>
    <col min="12810" max="12810" width="12.88671875" customWidth="1"/>
    <col min="12811" max="12812" width="13.5546875" customWidth="1"/>
    <col min="12813" max="12813" width="13.44140625" bestFit="1" customWidth="1"/>
    <col min="13057" max="13057" width="6.109375" customWidth="1"/>
    <col min="13058" max="13058" width="28.109375" customWidth="1"/>
    <col min="13059" max="13059" width="13.88671875" customWidth="1"/>
    <col min="13060" max="13060" width="14.5546875" customWidth="1"/>
    <col min="13061" max="13061" width="15.5546875" customWidth="1"/>
    <col min="13062" max="13062" width="14.5546875" customWidth="1"/>
    <col min="13063" max="13063" width="16.5546875" customWidth="1"/>
    <col min="13064" max="13064" width="14.5546875" customWidth="1"/>
    <col min="13065" max="13065" width="11.5546875" customWidth="1"/>
    <col min="13066" max="13066" width="12.88671875" customWidth="1"/>
    <col min="13067" max="13068" width="13.5546875" customWidth="1"/>
    <col min="13069" max="13069" width="13.44140625" bestFit="1" customWidth="1"/>
    <col min="13313" max="13313" width="6.109375" customWidth="1"/>
    <col min="13314" max="13314" width="28.109375" customWidth="1"/>
    <col min="13315" max="13315" width="13.88671875" customWidth="1"/>
    <col min="13316" max="13316" width="14.5546875" customWidth="1"/>
    <col min="13317" max="13317" width="15.5546875" customWidth="1"/>
    <col min="13318" max="13318" width="14.5546875" customWidth="1"/>
    <col min="13319" max="13319" width="16.5546875" customWidth="1"/>
    <col min="13320" max="13320" width="14.5546875" customWidth="1"/>
    <col min="13321" max="13321" width="11.5546875" customWidth="1"/>
    <col min="13322" max="13322" width="12.88671875" customWidth="1"/>
    <col min="13323" max="13324" width="13.5546875" customWidth="1"/>
    <col min="13325" max="13325" width="13.44140625" bestFit="1" customWidth="1"/>
    <col min="13569" max="13569" width="6.109375" customWidth="1"/>
    <col min="13570" max="13570" width="28.109375" customWidth="1"/>
    <col min="13571" max="13571" width="13.88671875" customWidth="1"/>
    <col min="13572" max="13572" width="14.5546875" customWidth="1"/>
    <col min="13573" max="13573" width="15.5546875" customWidth="1"/>
    <col min="13574" max="13574" width="14.5546875" customWidth="1"/>
    <col min="13575" max="13575" width="16.5546875" customWidth="1"/>
    <col min="13576" max="13576" width="14.5546875" customWidth="1"/>
    <col min="13577" max="13577" width="11.5546875" customWidth="1"/>
    <col min="13578" max="13578" width="12.88671875" customWidth="1"/>
    <col min="13579" max="13580" width="13.5546875" customWidth="1"/>
    <col min="13581" max="13581" width="13.44140625" bestFit="1" customWidth="1"/>
    <col min="13825" max="13825" width="6.109375" customWidth="1"/>
    <col min="13826" max="13826" width="28.109375" customWidth="1"/>
    <col min="13827" max="13827" width="13.88671875" customWidth="1"/>
    <col min="13828" max="13828" width="14.5546875" customWidth="1"/>
    <col min="13829" max="13829" width="15.5546875" customWidth="1"/>
    <col min="13830" max="13830" width="14.5546875" customWidth="1"/>
    <col min="13831" max="13831" width="16.5546875" customWidth="1"/>
    <col min="13832" max="13832" width="14.5546875" customWidth="1"/>
    <col min="13833" max="13833" width="11.5546875" customWidth="1"/>
    <col min="13834" max="13834" width="12.88671875" customWidth="1"/>
    <col min="13835" max="13836" width="13.5546875" customWidth="1"/>
    <col min="13837" max="13837" width="13.44140625" bestFit="1" customWidth="1"/>
    <col min="14081" max="14081" width="6.109375" customWidth="1"/>
    <col min="14082" max="14082" width="28.109375" customWidth="1"/>
    <col min="14083" max="14083" width="13.88671875" customWidth="1"/>
    <col min="14084" max="14084" width="14.5546875" customWidth="1"/>
    <col min="14085" max="14085" width="15.5546875" customWidth="1"/>
    <col min="14086" max="14086" width="14.5546875" customWidth="1"/>
    <col min="14087" max="14087" width="16.5546875" customWidth="1"/>
    <col min="14088" max="14088" width="14.5546875" customWidth="1"/>
    <col min="14089" max="14089" width="11.5546875" customWidth="1"/>
    <col min="14090" max="14090" width="12.88671875" customWidth="1"/>
    <col min="14091" max="14092" width="13.5546875" customWidth="1"/>
    <col min="14093" max="14093" width="13.44140625" bestFit="1" customWidth="1"/>
    <col min="14337" max="14337" width="6.109375" customWidth="1"/>
    <col min="14338" max="14338" width="28.109375" customWidth="1"/>
    <col min="14339" max="14339" width="13.88671875" customWidth="1"/>
    <col min="14340" max="14340" width="14.5546875" customWidth="1"/>
    <col min="14341" max="14341" width="15.5546875" customWidth="1"/>
    <col min="14342" max="14342" width="14.5546875" customWidth="1"/>
    <col min="14343" max="14343" width="16.5546875" customWidth="1"/>
    <col min="14344" max="14344" width="14.5546875" customWidth="1"/>
    <col min="14345" max="14345" width="11.5546875" customWidth="1"/>
    <col min="14346" max="14346" width="12.88671875" customWidth="1"/>
    <col min="14347" max="14348" width="13.5546875" customWidth="1"/>
    <col min="14349" max="14349" width="13.44140625" bestFit="1" customWidth="1"/>
    <col min="14593" max="14593" width="6.109375" customWidth="1"/>
    <col min="14594" max="14594" width="28.109375" customWidth="1"/>
    <col min="14595" max="14595" width="13.88671875" customWidth="1"/>
    <col min="14596" max="14596" width="14.5546875" customWidth="1"/>
    <col min="14597" max="14597" width="15.5546875" customWidth="1"/>
    <col min="14598" max="14598" width="14.5546875" customWidth="1"/>
    <col min="14599" max="14599" width="16.5546875" customWidth="1"/>
    <col min="14600" max="14600" width="14.5546875" customWidth="1"/>
    <col min="14601" max="14601" width="11.5546875" customWidth="1"/>
    <col min="14602" max="14602" width="12.88671875" customWidth="1"/>
    <col min="14603" max="14604" width="13.5546875" customWidth="1"/>
    <col min="14605" max="14605" width="13.44140625" bestFit="1" customWidth="1"/>
    <col min="14849" max="14849" width="6.109375" customWidth="1"/>
    <col min="14850" max="14850" width="28.109375" customWidth="1"/>
    <col min="14851" max="14851" width="13.88671875" customWidth="1"/>
    <col min="14852" max="14852" width="14.5546875" customWidth="1"/>
    <col min="14853" max="14853" width="15.5546875" customWidth="1"/>
    <col min="14854" max="14854" width="14.5546875" customWidth="1"/>
    <col min="14855" max="14855" width="16.5546875" customWidth="1"/>
    <col min="14856" max="14856" width="14.5546875" customWidth="1"/>
    <col min="14857" max="14857" width="11.5546875" customWidth="1"/>
    <col min="14858" max="14858" width="12.88671875" customWidth="1"/>
    <col min="14859" max="14860" width="13.5546875" customWidth="1"/>
    <col min="14861" max="14861" width="13.44140625" bestFit="1" customWidth="1"/>
    <col min="15105" max="15105" width="6.109375" customWidth="1"/>
    <col min="15106" max="15106" width="28.109375" customWidth="1"/>
    <col min="15107" max="15107" width="13.88671875" customWidth="1"/>
    <col min="15108" max="15108" width="14.5546875" customWidth="1"/>
    <col min="15109" max="15109" width="15.5546875" customWidth="1"/>
    <col min="15110" max="15110" width="14.5546875" customWidth="1"/>
    <col min="15111" max="15111" width="16.5546875" customWidth="1"/>
    <col min="15112" max="15112" width="14.5546875" customWidth="1"/>
    <col min="15113" max="15113" width="11.5546875" customWidth="1"/>
    <col min="15114" max="15114" width="12.88671875" customWidth="1"/>
    <col min="15115" max="15116" width="13.5546875" customWidth="1"/>
    <col min="15117" max="15117" width="13.44140625" bestFit="1" customWidth="1"/>
    <col min="15361" max="15361" width="6.109375" customWidth="1"/>
    <col min="15362" max="15362" width="28.109375" customWidth="1"/>
    <col min="15363" max="15363" width="13.88671875" customWidth="1"/>
    <col min="15364" max="15364" width="14.5546875" customWidth="1"/>
    <col min="15365" max="15365" width="15.5546875" customWidth="1"/>
    <col min="15366" max="15366" width="14.5546875" customWidth="1"/>
    <col min="15367" max="15367" width="16.5546875" customWidth="1"/>
    <col min="15368" max="15368" width="14.5546875" customWidth="1"/>
    <col min="15369" max="15369" width="11.5546875" customWidth="1"/>
    <col min="15370" max="15370" width="12.88671875" customWidth="1"/>
    <col min="15371" max="15372" width="13.5546875" customWidth="1"/>
    <col min="15373" max="15373" width="13.44140625" bestFit="1" customWidth="1"/>
    <col min="15617" max="15617" width="6.109375" customWidth="1"/>
    <col min="15618" max="15618" width="28.109375" customWidth="1"/>
    <col min="15619" max="15619" width="13.88671875" customWidth="1"/>
    <col min="15620" max="15620" width="14.5546875" customWidth="1"/>
    <col min="15621" max="15621" width="15.5546875" customWidth="1"/>
    <col min="15622" max="15622" width="14.5546875" customWidth="1"/>
    <col min="15623" max="15623" width="16.5546875" customWidth="1"/>
    <col min="15624" max="15624" width="14.5546875" customWidth="1"/>
    <col min="15625" max="15625" width="11.5546875" customWidth="1"/>
    <col min="15626" max="15626" width="12.88671875" customWidth="1"/>
    <col min="15627" max="15628" width="13.5546875" customWidth="1"/>
    <col min="15629" max="15629" width="13.44140625" bestFit="1" customWidth="1"/>
    <col min="15873" max="15873" width="6.109375" customWidth="1"/>
    <col min="15874" max="15874" width="28.109375" customWidth="1"/>
    <col min="15875" max="15875" width="13.88671875" customWidth="1"/>
    <col min="15876" max="15876" width="14.5546875" customWidth="1"/>
    <col min="15877" max="15877" width="15.5546875" customWidth="1"/>
    <col min="15878" max="15878" width="14.5546875" customWidth="1"/>
    <col min="15879" max="15879" width="16.5546875" customWidth="1"/>
    <col min="15880" max="15880" width="14.5546875" customWidth="1"/>
    <col min="15881" max="15881" width="11.5546875" customWidth="1"/>
    <col min="15882" max="15882" width="12.88671875" customWidth="1"/>
    <col min="15883" max="15884" width="13.5546875" customWidth="1"/>
    <col min="15885" max="15885" width="13.44140625" bestFit="1" customWidth="1"/>
    <col min="16129" max="16129" width="6.109375" customWidth="1"/>
    <col min="16130" max="16130" width="28.109375" customWidth="1"/>
    <col min="16131" max="16131" width="13.88671875" customWidth="1"/>
    <col min="16132" max="16132" width="14.5546875" customWidth="1"/>
    <col min="16133" max="16133" width="15.5546875" customWidth="1"/>
    <col min="16134" max="16134" width="14.5546875" customWidth="1"/>
    <col min="16135" max="16135" width="16.5546875" customWidth="1"/>
    <col min="16136" max="16136" width="14.5546875" customWidth="1"/>
    <col min="16137" max="16137" width="11.5546875" customWidth="1"/>
    <col min="16138" max="16138" width="12.88671875" customWidth="1"/>
    <col min="16139" max="16140" width="13.5546875" customWidth="1"/>
    <col min="16141" max="16141" width="13.44140625" bestFit="1" customWidth="1"/>
  </cols>
  <sheetData>
    <row r="1" spans="1:23" ht="18" x14ac:dyDescent="0.35">
      <c r="B1" s="29" t="s">
        <v>528</v>
      </c>
    </row>
    <row r="2" spans="1:23" ht="18" x14ac:dyDescent="0.35">
      <c r="B2" s="299"/>
    </row>
    <row r="4" spans="1:23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1"/>
      <c r="L4" s="31"/>
      <c r="M4" s="30"/>
      <c r="N4" s="32"/>
    </row>
    <row r="5" spans="1:23" s="40" customFormat="1" x14ac:dyDescent="0.3">
      <c r="A5" s="33"/>
      <c r="B5" s="908" t="s">
        <v>236</v>
      </c>
      <c r="C5" s="34" t="s">
        <v>1</v>
      </c>
      <c r="D5" s="35" t="s">
        <v>2</v>
      </c>
      <c r="E5" s="36" t="s">
        <v>3</v>
      </c>
      <c r="F5" s="36" t="s">
        <v>4</v>
      </c>
      <c r="G5" s="36" t="s">
        <v>5</v>
      </c>
      <c r="H5" s="36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8"/>
      <c r="N5" s="39"/>
    </row>
    <row r="6" spans="1:23" ht="91.35" customHeight="1" x14ac:dyDescent="0.3">
      <c r="A6" s="41" t="s">
        <v>189</v>
      </c>
      <c r="B6" s="909"/>
      <c r="C6" s="42" t="s">
        <v>190</v>
      </c>
      <c r="D6" s="36" t="s">
        <v>12</v>
      </c>
      <c r="E6" s="36" t="s">
        <v>13</v>
      </c>
      <c r="F6" s="36" t="s">
        <v>14</v>
      </c>
      <c r="G6" s="36" t="s">
        <v>15</v>
      </c>
      <c r="H6" s="36" t="s">
        <v>191</v>
      </c>
      <c r="I6" s="43" t="s">
        <v>17</v>
      </c>
      <c r="J6" s="43" t="s">
        <v>18</v>
      </c>
      <c r="K6" s="43" t="s">
        <v>19</v>
      </c>
      <c r="L6" s="43" t="s">
        <v>360</v>
      </c>
      <c r="M6" s="36" t="s">
        <v>193</v>
      </c>
      <c r="N6" s="32"/>
    </row>
    <row r="7" spans="1:23" s="40" customFormat="1" x14ac:dyDescent="0.3">
      <c r="A7" s="419" t="s">
        <v>69</v>
      </c>
      <c r="B7" s="507" t="s">
        <v>529</v>
      </c>
      <c r="C7" s="508">
        <v>8009456.629999999</v>
      </c>
      <c r="D7" s="508">
        <f>SUM(E7:L7)</f>
        <v>1779975.65</v>
      </c>
      <c r="E7" s="50">
        <v>42838.27</v>
      </c>
      <c r="F7" s="50">
        <v>355582.43</v>
      </c>
      <c r="G7" s="50">
        <v>378948.72</v>
      </c>
      <c r="H7" s="509">
        <v>123658.28</v>
      </c>
      <c r="I7" s="50">
        <v>11591.89</v>
      </c>
      <c r="J7" s="50">
        <v>4413.29</v>
      </c>
      <c r="K7" s="50">
        <v>862942.77</v>
      </c>
      <c r="L7" s="50"/>
      <c r="M7" s="510">
        <v>149</v>
      </c>
      <c r="N7" s="412"/>
      <c r="O7" s="413"/>
      <c r="P7" s="413"/>
      <c r="Q7" s="413"/>
      <c r="R7" s="413"/>
      <c r="S7" s="413"/>
      <c r="T7" s="413"/>
      <c r="U7" s="413"/>
      <c r="V7" s="413"/>
      <c r="W7" s="413"/>
    </row>
    <row r="8" spans="1:23" x14ac:dyDescent="0.3">
      <c r="A8" s="30"/>
      <c r="B8" s="30"/>
      <c r="C8" s="30"/>
      <c r="D8" s="30"/>
      <c r="E8" s="30"/>
      <c r="F8" s="30"/>
      <c r="G8" s="30"/>
      <c r="H8" s="30"/>
      <c r="I8" s="30"/>
      <c r="J8" s="30"/>
      <c r="K8" s="31"/>
      <c r="L8" s="31"/>
      <c r="M8" s="81"/>
      <c r="N8" s="511"/>
      <c r="O8" s="512"/>
      <c r="P8" s="512"/>
      <c r="Q8" s="512"/>
      <c r="R8" s="512"/>
      <c r="S8" s="512"/>
      <c r="T8" s="513"/>
      <c r="U8" s="81"/>
      <c r="V8" s="81"/>
      <c r="W8" s="81"/>
    </row>
    <row r="9" spans="1:23" x14ac:dyDescent="0.3">
      <c r="A9" s="30"/>
      <c r="B9" s="30"/>
      <c r="C9" s="30"/>
      <c r="D9" s="30"/>
      <c r="E9" s="514"/>
      <c r="F9" s="94"/>
      <c r="G9" s="94"/>
      <c r="H9" s="94"/>
      <c r="I9" s="94"/>
      <c r="J9" s="94"/>
      <c r="K9" s="94"/>
      <c r="L9" s="31"/>
      <c r="M9" s="416"/>
      <c r="N9" s="515"/>
      <c r="O9" s="81"/>
      <c r="P9" s="81"/>
      <c r="Q9" s="81"/>
      <c r="R9" s="81"/>
      <c r="S9" s="81"/>
      <c r="T9" s="516"/>
      <c r="U9" s="81"/>
      <c r="V9" s="81"/>
      <c r="W9" s="81"/>
    </row>
    <row r="10" spans="1:23" x14ac:dyDescent="0.3">
      <c r="A10" s="30"/>
      <c r="B10" s="95" t="s">
        <v>197</v>
      </c>
      <c r="C10" s="30"/>
      <c r="D10" s="30"/>
      <c r="E10" s="30"/>
      <c r="F10" s="30"/>
      <c r="G10" s="30"/>
      <c r="H10" s="30"/>
      <c r="I10" s="30"/>
      <c r="J10" s="95"/>
      <c r="K10" s="30"/>
      <c r="L10" s="30"/>
      <c r="M10" s="416"/>
      <c r="N10" s="517"/>
      <c r="O10" s="518"/>
      <c r="P10" s="518"/>
      <c r="Q10" s="518"/>
      <c r="R10" s="518"/>
      <c r="S10" s="518"/>
      <c r="T10" s="519"/>
      <c r="U10" s="81"/>
      <c r="V10" s="81"/>
      <c r="W10" s="81"/>
    </row>
    <row r="11" spans="1:23" s="40" customFormat="1" ht="62.1" customHeight="1" x14ac:dyDescent="0.3">
      <c r="A11" s="17" t="s">
        <v>189</v>
      </c>
      <c r="B11" s="23" t="s">
        <v>361</v>
      </c>
      <c r="C11" s="23" t="s">
        <v>199</v>
      </c>
      <c r="D11" s="23" t="s">
        <v>200</v>
      </c>
      <c r="E11" s="23" t="s">
        <v>201</v>
      </c>
      <c r="F11" s="23" t="s">
        <v>202</v>
      </c>
      <c r="G11" s="23" t="s">
        <v>53</v>
      </c>
      <c r="H11" s="23" t="s">
        <v>203</v>
      </c>
      <c r="I11" s="23" t="s">
        <v>204</v>
      </c>
      <c r="K11" s="36" t="s">
        <v>530</v>
      </c>
      <c r="L11" s="96"/>
      <c r="M11" s="417"/>
      <c r="N11" s="413"/>
      <c r="O11" s="413"/>
      <c r="P11" s="413"/>
      <c r="Q11" s="413"/>
      <c r="R11" s="413"/>
      <c r="S11" s="413"/>
      <c r="T11" s="413"/>
      <c r="U11" s="413"/>
      <c r="V11" s="413"/>
      <c r="W11" s="413"/>
    </row>
    <row r="12" spans="1:23" s="24" customFormat="1" ht="28.8" x14ac:dyDescent="0.3">
      <c r="A12" s="17" t="s">
        <v>69</v>
      </c>
      <c r="B12" s="23" t="s">
        <v>531</v>
      </c>
      <c r="C12" s="23">
        <v>1960</v>
      </c>
      <c r="D12" s="23">
        <v>1997</v>
      </c>
      <c r="E12" s="78" t="s">
        <v>532</v>
      </c>
      <c r="F12" s="78" t="s">
        <v>533</v>
      </c>
      <c r="G12" s="23">
        <v>1326.06</v>
      </c>
      <c r="H12" s="78">
        <v>2</v>
      </c>
      <c r="I12" s="18">
        <v>1591272</v>
      </c>
      <c r="J12"/>
      <c r="K12" s="520" t="s">
        <v>534</v>
      </c>
    </row>
    <row r="13" spans="1:23" s="24" customFormat="1" x14ac:dyDescent="0.3">
      <c r="A13" s="17" t="s">
        <v>71</v>
      </c>
      <c r="B13" s="23" t="s">
        <v>535</v>
      </c>
      <c r="C13" s="23">
        <v>1983</v>
      </c>
      <c r="D13" s="23">
        <v>2003</v>
      </c>
      <c r="E13" s="23" t="s">
        <v>536</v>
      </c>
      <c r="F13" s="23" t="s">
        <v>533</v>
      </c>
      <c r="G13" s="23">
        <v>579.41999999999996</v>
      </c>
      <c r="H13" s="97">
        <v>1</v>
      </c>
      <c r="I13" s="78">
        <v>695304</v>
      </c>
      <c r="J13"/>
    </row>
    <row r="14" spans="1:23" s="24" customFormat="1" x14ac:dyDescent="0.3">
      <c r="A14" s="17" t="s">
        <v>73</v>
      </c>
      <c r="B14" s="23" t="s">
        <v>537</v>
      </c>
      <c r="C14" s="23">
        <v>1960</v>
      </c>
      <c r="D14" s="23">
        <v>1999</v>
      </c>
      <c r="E14" s="23" t="s">
        <v>538</v>
      </c>
      <c r="F14" s="23" t="s">
        <v>481</v>
      </c>
      <c r="G14" s="23">
        <v>465.06</v>
      </c>
      <c r="H14" s="97">
        <v>1</v>
      </c>
      <c r="I14" s="78">
        <v>558072</v>
      </c>
      <c r="J14"/>
    </row>
    <row r="15" spans="1:23" s="1" customFormat="1" x14ac:dyDescent="0.3">
      <c r="A15" s="17" t="s">
        <v>349</v>
      </c>
      <c r="B15" s="23" t="s">
        <v>539</v>
      </c>
      <c r="C15" s="23">
        <v>2012</v>
      </c>
      <c r="D15" s="23"/>
      <c r="E15" s="23" t="s">
        <v>540</v>
      </c>
      <c r="F15" s="23" t="s">
        <v>533</v>
      </c>
      <c r="G15" s="78">
        <v>1037.2</v>
      </c>
      <c r="H15" s="97">
        <v>1</v>
      </c>
      <c r="I15" s="78">
        <v>1483052.19</v>
      </c>
      <c r="J15" s="521"/>
    </row>
    <row r="16" spans="1:23" s="1" customFormat="1" x14ac:dyDescent="0.3">
      <c r="A16" s="135" t="s">
        <v>541</v>
      </c>
      <c r="B16" s="136" t="s">
        <v>542</v>
      </c>
      <c r="C16" s="522">
        <v>1977</v>
      </c>
      <c r="D16" s="136">
        <v>2001</v>
      </c>
      <c r="E16" s="522" t="s">
        <v>532</v>
      </c>
      <c r="F16" s="136" t="s">
        <v>481</v>
      </c>
      <c r="G16" s="522">
        <v>629.29999999999995</v>
      </c>
      <c r="H16" s="136">
        <v>1</v>
      </c>
      <c r="I16" s="523">
        <v>755160</v>
      </c>
      <c r="J16" s="524"/>
    </row>
    <row r="17" spans="1:27" s="1" customFormat="1" x14ac:dyDescent="0.3">
      <c r="A17" s="17" t="s">
        <v>543</v>
      </c>
      <c r="B17" s="23" t="s">
        <v>544</v>
      </c>
      <c r="C17" s="525">
        <v>1981</v>
      </c>
      <c r="D17" s="23">
        <v>2006</v>
      </c>
      <c r="E17" s="525" t="s">
        <v>545</v>
      </c>
      <c r="F17" s="23" t="s">
        <v>481</v>
      </c>
      <c r="G17" s="525">
        <v>537.34</v>
      </c>
      <c r="H17" s="23">
        <v>1</v>
      </c>
      <c r="I17" s="526">
        <v>698542</v>
      </c>
      <c r="J17" s="524"/>
    </row>
    <row r="18" spans="1:27" s="1" customFormat="1" x14ac:dyDescent="0.3">
      <c r="A18" s="25" t="s">
        <v>546</v>
      </c>
      <c r="B18" s="527" t="s">
        <v>547</v>
      </c>
      <c r="C18" s="56">
        <v>1977</v>
      </c>
      <c r="D18" s="527">
        <v>2000</v>
      </c>
      <c r="E18" s="56" t="s">
        <v>532</v>
      </c>
      <c r="F18" s="527" t="s">
        <v>481</v>
      </c>
      <c r="G18" s="56">
        <v>472.18</v>
      </c>
      <c r="H18" s="527">
        <v>1</v>
      </c>
      <c r="I18" s="528">
        <v>566616</v>
      </c>
      <c r="J18" s="524"/>
    </row>
    <row r="19" spans="1:27" s="1" customFormat="1" ht="28.8" x14ac:dyDescent="0.3">
      <c r="A19" s="17" t="s">
        <v>548</v>
      </c>
      <c r="B19" s="23" t="s">
        <v>549</v>
      </c>
      <c r="C19" s="529">
        <v>2013</v>
      </c>
      <c r="D19" s="23"/>
      <c r="E19" s="529" t="s">
        <v>540</v>
      </c>
      <c r="F19" s="17" t="s">
        <v>481</v>
      </c>
      <c r="G19" s="529">
        <v>902.08</v>
      </c>
      <c r="H19" s="17">
        <v>3</v>
      </c>
      <c r="I19" s="75">
        <v>1469038.44</v>
      </c>
      <c r="J19" s="530"/>
    </row>
    <row r="20" spans="1:27" s="1" customFormat="1" x14ac:dyDescent="0.3">
      <c r="A20" s="17">
        <v>9</v>
      </c>
      <c r="B20" s="23" t="s">
        <v>550</v>
      </c>
      <c r="C20" s="529">
        <v>1950</v>
      </c>
      <c r="D20" s="531">
        <v>2011</v>
      </c>
      <c r="E20" s="529" t="s">
        <v>551</v>
      </c>
      <c r="F20" s="17" t="s">
        <v>533</v>
      </c>
      <c r="G20" s="529">
        <v>192.4</v>
      </c>
      <c r="H20" s="17">
        <v>1</v>
      </c>
      <c r="I20" s="75">
        <v>192400</v>
      </c>
      <c r="J20"/>
    </row>
    <row r="21" spans="1:27" s="1" customFormat="1" ht="28.2" x14ac:dyDescent="0.3">
      <c r="A21"/>
      <c r="B21" s="316" t="s">
        <v>372</v>
      </c>
      <c r="C21"/>
      <c r="D21" s="56"/>
      <c r="E21"/>
      <c r="F21"/>
      <c r="G21"/>
      <c r="H21"/>
      <c r="I21" s="532">
        <f>SUM(I12:I20)</f>
        <v>8009456.629999999</v>
      </c>
      <c r="J21"/>
    </row>
    <row r="22" spans="1:27" s="1" customFormat="1" ht="96.6" customHeight="1" x14ac:dyDescent="0.3">
      <c r="A22" s="41" t="s">
        <v>189</v>
      </c>
      <c r="B22" s="317" t="s">
        <v>373</v>
      </c>
      <c r="C22" s="36" t="s">
        <v>374</v>
      </c>
      <c r="D22" s="36" t="s">
        <v>375</v>
      </c>
      <c r="E22" s="36" t="s">
        <v>552</v>
      </c>
      <c r="F22" s="36" t="s">
        <v>553</v>
      </c>
      <c r="G22" s="89"/>
      <c r="H22"/>
      <c r="I22"/>
      <c r="J22"/>
    </row>
    <row r="23" spans="1:27" s="1" customFormat="1" x14ac:dyDescent="0.3">
      <c r="A23" s="360" t="s">
        <v>69</v>
      </c>
      <c r="B23" s="35" t="s">
        <v>554</v>
      </c>
      <c r="C23" s="18">
        <v>1591272</v>
      </c>
      <c r="D23" s="533">
        <v>399601.96</v>
      </c>
      <c r="E23" s="534">
        <v>13523.08</v>
      </c>
      <c r="F23" s="535"/>
      <c r="G23"/>
      <c r="H23"/>
      <c r="I23"/>
      <c r="J23"/>
      <c r="L23" s="387"/>
      <c r="Q23" s="536"/>
    </row>
    <row r="24" spans="1:27" s="432" customFormat="1" ht="15.6" customHeight="1" x14ac:dyDescent="0.3">
      <c r="A24" s="360" t="s">
        <v>71</v>
      </c>
      <c r="B24" s="35" t="s">
        <v>555</v>
      </c>
      <c r="C24" s="78">
        <v>695304</v>
      </c>
      <c r="D24" s="533">
        <v>102165.59</v>
      </c>
      <c r="E24" s="534">
        <v>5716.11</v>
      </c>
      <c r="F24" s="537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536"/>
      <c r="R24" s="431"/>
      <c r="S24" s="431"/>
      <c r="T24" s="431"/>
      <c r="V24" s="431"/>
      <c r="W24" s="431"/>
      <c r="X24" s="431"/>
      <c r="Y24" s="431"/>
      <c r="Z24" s="431"/>
      <c r="AA24" s="431"/>
    </row>
    <row r="25" spans="1:27" ht="17.399999999999999" customHeight="1" x14ac:dyDescent="0.3">
      <c r="A25" s="360" t="s">
        <v>73</v>
      </c>
      <c r="B25" s="20" t="s">
        <v>556</v>
      </c>
      <c r="C25" s="78">
        <v>558072</v>
      </c>
      <c r="D25" s="538">
        <v>96376.91</v>
      </c>
      <c r="E25" s="539">
        <v>12055.09</v>
      </c>
      <c r="F25" s="540"/>
      <c r="G25" s="57"/>
      <c r="H25" s="57"/>
      <c r="I25" s="57"/>
      <c r="J25" s="57"/>
      <c r="K25" s="57"/>
      <c r="L25" s="57"/>
      <c r="M25" s="57"/>
      <c r="N25" s="319"/>
      <c r="Q25" s="541"/>
    </row>
    <row r="26" spans="1:27" ht="17.100000000000001" customHeight="1" x14ac:dyDescent="0.3">
      <c r="A26" s="360" t="s">
        <v>349</v>
      </c>
      <c r="B26" s="20" t="s">
        <v>557</v>
      </c>
      <c r="C26" s="78">
        <v>1483052.19</v>
      </c>
      <c r="D26" s="538">
        <v>220092.37999999971</v>
      </c>
      <c r="E26" s="539">
        <v>41569.760000000002</v>
      </c>
      <c r="F26" s="538">
        <v>95444.2</v>
      </c>
      <c r="G26" s="26" t="s">
        <v>558</v>
      </c>
      <c r="H26" s="26"/>
      <c r="I26" s="26"/>
      <c r="J26" s="26"/>
      <c r="K26" s="26"/>
      <c r="L26" s="57"/>
      <c r="M26" s="57"/>
      <c r="N26" s="319"/>
      <c r="Q26" s="541"/>
    </row>
    <row r="27" spans="1:27" ht="18" customHeight="1" x14ac:dyDescent="0.3">
      <c r="A27" s="360" t="s">
        <v>541</v>
      </c>
      <c r="B27" s="17" t="s">
        <v>559</v>
      </c>
      <c r="C27" s="523">
        <v>755160</v>
      </c>
      <c r="D27" s="542">
        <v>123514.77</v>
      </c>
      <c r="E27" s="75">
        <v>6899.96</v>
      </c>
      <c r="F27" s="543"/>
      <c r="G27" s="26" t="s">
        <v>560</v>
      </c>
      <c r="H27" s="26"/>
      <c r="I27" s="26"/>
      <c r="J27" s="26"/>
      <c r="K27" s="26"/>
      <c r="L27" s="57"/>
      <c r="M27" s="57"/>
      <c r="N27" s="319"/>
      <c r="Q27" s="544"/>
    </row>
    <row r="28" spans="1:27" ht="18.75" customHeight="1" x14ac:dyDescent="0.3">
      <c r="A28" s="63" t="s">
        <v>543</v>
      </c>
      <c r="B28" s="25" t="s">
        <v>561</v>
      </c>
      <c r="C28" s="526">
        <v>698542</v>
      </c>
      <c r="D28" s="545">
        <v>155871.78</v>
      </c>
      <c r="E28" s="546">
        <v>17960.849999999999</v>
      </c>
      <c r="F28" s="543"/>
      <c r="G28" s="57" t="s">
        <v>562</v>
      </c>
      <c r="H28" s="57"/>
      <c r="I28" s="57"/>
      <c r="J28" s="57"/>
      <c r="K28" s="57"/>
      <c r="L28" s="57"/>
      <c r="M28" s="57"/>
      <c r="N28" s="57"/>
      <c r="Q28" s="544"/>
    </row>
    <row r="29" spans="1:27" ht="18" customHeight="1" x14ac:dyDescent="0.3">
      <c r="A29" s="360" t="s">
        <v>546</v>
      </c>
      <c r="B29" s="17" t="s">
        <v>563</v>
      </c>
      <c r="C29" s="528">
        <v>566616</v>
      </c>
      <c r="D29" s="542">
        <v>117945.97</v>
      </c>
      <c r="E29" s="547">
        <v>8576.6</v>
      </c>
      <c r="F29" s="543"/>
      <c r="G29" s="57"/>
      <c r="H29" s="57"/>
      <c r="I29" s="57"/>
      <c r="J29" s="57"/>
      <c r="K29" s="57"/>
      <c r="L29" s="57"/>
      <c r="M29" s="57"/>
      <c r="N29" s="57"/>
      <c r="Q29" s="544"/>
    </row>
    <row r="30" spans="1:27" ht="18.75" customHeight="1" x14ac:dyDescent="0.3">
      <c r="A30" s="360" t="s">
        <v>548</v>
      </c>
      <c r="B30" s="17" t="s">
        <v>564</v>
      </c>
      <c r="C30" s="18">
        <v>1469038.44</v>
      </c>
      <c r="D30" s="542">
        <v>222668.34</v>
      </c>
      <c r="E30" s="18">
        <v>17356.830000000002</v>
      </c>
      <c r="F30" s="25"/>
      <c r="I30" s="26"/>
      <c r="K30" s="26"/>
      <c r="L30" s="26"/>
      <c r="Q30" s="544"/>
    </row>
    <row r="31" spans="1:27" x14ac:dyDescent="0.3">
      <c r="A31" s="360" t="s">
        <v>565</v>
      </c>
      <c r="B31" s="17" t="s">
        <v>566</v>
      </c>
      <c r="C31" s="18">
        <v>192400</v>
      </c>
      <c r="D31" s="542">
        <v>79797.2</v>
      </c>
      <c r="E31" s="17">
        <v>0</v>
      </c>
      <c r="F31" s="25"/>
      <c r="J31" s="26"/>
      <c r="K31" s="26"/>
      <c r="L31" s="26"/>
      <c r="Q31" s="544"/>
    </row>
    <row r="32" spans="1:27" x14ac:dyDescent="0.3">
      <c r="A32" s="135"/>
      <c r="B32" s="548"/>
      <c r="C32" s="549"/>
      <c r="D32" s="550"/>
      <c r="E32" s="551"/>
      <c r="F32" s="551"/>
      <c r="G32" s="81"/>
      <c r="I32" s="26"/>
      <c r="L32" s="26"/>
    </row>
    <row r="33" spans="1:17" x14ac:dyDescent="0.3">
      <c r="A33" s="552"/>
      <c r="B33" s="553" t="s">
        <v>83</v>
      </c>
      <c r="C33" s="554">
        <f>SUM(C23:C31)</f>
        <v>8009456.629999999</v>
      </c>
      <c r="D33" s="555">
        <f>SUM(D23:D32)</f>
        <v>1518034.9</v>
      </c>
      <c r="E33" s="554">
        <f>SUM(E23:E32)</f>
        <v>123658.28000000001</v>
      </c>
      <c r="F33" s="554">
        <f>F26</f>
        <v>95444.2</v>
      </c>
      <c r="G33" s="556"/>
      <c r="H33" s="26"/>
      <c r="I33" s="26"/>
      <c r="K33" s="26"/>
      <c r="L33" s="26"/>
      <c r="Q33" s="26"/>
    </row>
    <row r="34" spans="1:17" x14ac:dyDescent="0.3">
      <c r="D34" s="557"/>
    </row>
    <row r="35" spans="1:17" x14ac:dyDescent="0.3">
      <c r="C35" s="26"/>
      <c r="F35" s="26"/>
    </row>
    <row r="36" spans="1:17" ht="15" thickBot="1" x14ac:dyDescent="0.35">
      <c r="A36" s="320" t="s">
        <v>607</v>
      </c>
      <c r="B36" s="56"/>
      <c r="D36" s="56"/>
      <c r="K36" s="1"/>
      <c r="L36" s="1"/>
      <c r="M36" s="1"/>
    </row>
    <row r="37" spans="1:17" ht="15" thickBot="1" x14ac:dyDescent="0.35">
      <c r="A37" s="872" t="s">
        <v>37</v>
      </c>
      <c r="B37" s="873"/>
      <c r="C37" s="873"/>
      <c r="D37" s="873"/>
      <c r="E37" s="873"/>
      <c r="F37" s="873"/>
      <c r="G37" s="873"/>
      <c r="H37" s="873"/>
      <c r="I37" s="874"/>
      <c r="J37" s="2"/>
      <c r="K37" s="3" t="s">
        <v>38</v>
      </c>
      <c r="L37" s="4"/>
      <c r="M37" s="5"/>
    </row>
    <row r="38" spans="1:17" ht="55.8" thickBot="1" x14ac:dyDescent="0.35">
      <c r="A38" s="100"/>
      <c r="B38" s="101" t="s">
        <v>40</v>
      </c>
      <c r="C38" s="899" t="s">
        <v>41</v>
      </c>
      <c r="D38" s="900"/>
      <c r="E38" s="901" t="s">
        <v>42</v>
      </c>
      <c r="F38" s="902"/>
      <c r="G38" s="899" t="s">
        <v>43</v>
      </c>
      <c r="H38" s="900"/>
      <c r="I38" s="7" t="s">
        <v>567</v>
      </c>
      <c r="J38" s="7" t="s">
        <v>208</v>
      </c>
      <c r="K38" s="8" t="s">
        <v>2341</v>
      </c>
      <c r="L38" s="7" t="s">
        <v>46</v>
      </c>
      <c r="M38" s="6" t="s">
        <v>39</v>
      </c>
    </row>
    <row r="39" spans="1:17" x14ac:dyDescent="0.3">
      <c r="A39" s="9"/>
      <c r="B39" s="10"/>
      <c r="C39" s="11" t="s">
        <v>48</v>
      </c>
      <c r="D39" s="12" t="s">
        <v>49</v>
      </c>
      <c r="E39" s="13" t="s">
        <v>48</v>
      </c>
      <c r="F39" s="13" t="s">
        <v>49</v>
      </c>
      <c r="G39" s="12" t="s">
        <v>48</v>
      </c>
      <c r="H39" s="12" t="s">
        <v>393</v>
      </c>
      <c r="I39" s="14"/>
      <c r="J39" s="103"/>
      <c r="K39" s="12"/>
      <c r="L39" s="12"/>
      <c r="M39" s="15"/>
    </row>
    <row r="40" spans="1:17" ht="55.2" x14ac:dyDescent="0.3">
      <c r="A40" s="360">
        <v>1</v>
      </c>
      <c r="B40" s="558" t="s">
        <v>2342</v>
      </c>
      <c r="C40" s="559">
        <v>30000</v>
      </c>
      <c r="D40" s="559">
        <v>10000</v>
      </c>
      <c r="E40" s="70">
        <v>10000</v>
      </c>
      <c r="F40" s="70">
        <v>1500</v>
      </c>
      <c r="G40" s="70">
        <v>10000</v>
      </c>
      <c r="H40" s="70">
        <v>3000</v>
      </c>
      <c r="I40" s="70">
        <v>4500</v>
      </c>
      <c r="J40" s="70">
        <v>2000</v>
      </c>
      <c r="K40" s="70">
        <v>2000</v>
      </c>
      <c r="L40" s="70"/>
      <c r="M40" s="70">
        <v>2000</v>
      </c>
    </row>
    <row r="41" spans="1:17" x14ac:dyDescent="0.3">
      <c r="A41" s="360">
        <v>2</v>
      </c>
      <c r="B41" s="558" t="s">
        <v>555</v>
      </c>
      <c r="C41" s="542">
        <v>30000</v>
      </c>
      <c r="D41" s="542">
        <v>10000</v>
      </c>
      <c r="E41" s="70">
        <v>10000</v>
      </c>
      <c r="F41" s="70">
        <v>1500</v>
      </c>
      <c r="G41" s="70">
        <v>10000</v>
      </c>
      <c r="H41" s="70">
        <v>3000</v>
      </c>
      <c r="I41" s="70">
        <v>4500</v>
      </c>
      <c r="J41" s="70">
        <v>2000</v>
      </c>
      <c r="K41" s="17"/>
      <c r="L41" s="17"/>
      <c r="M41" s="70">
        <v>2000</v>
      </c>
    </row>
    <row r="42" spans="1:17" x14ac:dyDescent="0.3">
      <c r="A42" s="360">
        <v>3</v>
      </c>
      <c r="B42" s="560" t="s">
        <v>556</v>
      </c>
      <c r="C42" s="18">
        <v>6000</v>
      </c>
      <c r="D42" s="18">
        <v>2000</v>
      </c>
      <c r="E42" s="70">
        <v>3000</v>
      </c>
      <c r="F42" s="70">
        <v>1500</v>
      </c>
      <c r="G42" s="70">
        <v>10000</v>
      </c>
      <c r="H42" s="70">
        <v>3000</v>
      </c>
      <c r="I42" s="70">
        <v>4500</v>
      </c>
      <c r="J42" s="70">
        <v>2000</v>
      </c>
      <c r="K42" s="18"/>
      <c r="L42" s="18"/>
      <c r="M42" s="70">
        <v>2000</v>
      </c>
    </row>
    <row r="43" spans="1:17" x14ac:dyDescent="0.3">
      <c r="A43" s="360">
        <v>4</v>
      </c>
      <c r="B43" s="560" t="s">
        <v>557</v>
      </c>
      <c r="C43" s="18">
        <v>6000</v>
      </c>
      <c r="D43" s="18">
        <v>2000</v>
      </c>
      <c r="E43" s="70">
        <v>10000</v>
      </c>
      <c r="F43" s="70">
        <v>1500</v>
      </c>
      <c r="G43" s="70">
        <v>10000</v>
      </c>
      <c r="H43" s="70">
        <v>3000</v>
      </c>
      <c r="I43" s="561">
        <v>4500</v>
      </c>
      <c r="J43" s="70">
        <v>2000</v>
      </c>
      <c r="K43" s="18"/>
      <c r="L43" s="18"/>
      <c r="M43" s="70">
        <v>2000</v>
      </c>
    </row>
    <row r="44" spans="1:17" x14ac:dyDescent="0.3">
      <c r="A44" s="360">
        <v>5</v>
      </c>
      <c r="B44" s="79" t="s">
        <v>559</v>
      </c>
      <c r="C44" s="18">
        <v>6000</v>
      </c>
      <c r="D44" s="18">
        <v>2000</v>
      </c>
      <c r="E44" s="70">
        <v>5000</v>
      </c>
      <c r="F44" s="70">
        <v>1500</v>
      </c>
      <c r="G44" s="70">
        <v>10000</v>
      </c>
      <c r="H44" s="70">
        <v>3000</v>
      </c>
      <c r="I44" s="70">
        <v>4500</v>
      </c>
      <c r="J44" s="70">
        <v>2000</v>
      </c>
      <c r="K44" s="18"/>
      <c r="L44" s="18"/>
      <c r="M44" s="70">
        <v>2000</v>
      </c>
    </row>
    <row r="45" spans="1:17" x14ac:dyDescent="0.3">
      <c r="A45" s="360">
        <v>6</v>
      </c>
      <c r="B45" s="562" t="s">
        <v>561</v>
      </c>
      <c r="C45" s="18">
        <v>6000</v>
      </c>
      <c r="D45" s="18">
        <v>2000</v>
      </c>
      <c r="E45" s="70">
        <v>5000</v>
      </c>
      <c r="F45" s="70">
        <v>1500</v>
      </c>
      <c r="G45" s="70">
        <v>10000</v>
      </c>
      <c r="H45" s="70">
        <v>3000</v>
      </c>
      <c r="I45" s="70">
        <v>4500</v>
      </c>
      <c r="J45" s="70">
        <v>2000</v>
      </c>
      <c r="K45" s="18"/>
      <c r="L45" s="18"/>
      <c r="M45" s="70">
        <v>2000</v>
      </c>
    </row>
    <row r="46" spans="1:17" x14ac:dyDescent="0.3">
      <c r="A46" s="360">
        <v>7</v>
      </c>
      <c r="B46" s="79" t="s">
        <v>563</v>
      </c>
      <c r="C46" s="18">
        <v>6000</v>
      </c>
      <c r="D46" s="18">
        <v>2000</v>
      </c>
      <c r="E46" s="70">
        <v>3000</v>
      </c>
      <c r="F46" s="70">
        <v>1500</v>
      </c>
      <c r="G46" s="70">
        <v>10000</v>
      </c>
      <c r="H46" s="70">
        <v>3000</v>
      </c>
      <c r="I46" s="70">
        <v>4500</v>
      </c>
      <c r="J46" s="70">
        <v>2000</v>
      </c>
      <c r="K46" s="18"/>
      <c r="L46" s="18"/>
      <c r="M46" s="70">
        <v>2000</v>
      </c>
    </row>
    <row r="47" spans="1:17" x14ac:dyDescent="0.3">
      <c r="A47" s="360">
        <v>8</v>
      </c>
      <c r="B47" s="562" t="s">
        <v>564</v>
      </c>
      <c r="C47" s="18">
        <v>6000</v>
      </c>
      <c r="D47" s="18">
        <v>2000</v>
      </c>
      <c r="E47" s="70">
        <v>5000</v>
      </c>
      <c r="F47" s="70">
        <v>1500</v>
      </c>
      <c r="G47" s="70">
        <v>10000</v>
      </c>
      <c r="H47" s="70">
        <v>3000</v>
      </c>
      <c r="I47" s="70">
        <v>4500</v>
      </c>
      <c r="J47" s="70">
        <v>2000</v>
      </c>
      <c r="K47" s="18"/>
      <c r="L47" s="18"/>
      <c r="M47" s="70">
        <v>2000</v>
      </c>
    </row>
    <row r="48" spans="1:17" x14ac:dyDescent="0.3">
      <c r="A48" s="360">
        <v>9</v>
      </c>
      <c r="B48" s="17" t="s">
        <v>566</v>
      </c>
      <c r="C48" s="18"/>
      <c r="D48" s="18"/>
      <c r="E48" s="70">
        <v>3000</v>
      </c>
      <c r="F48" s="70">
        <v>1500</v>
      </c>
      <c r="G48" s="70">
        <v>5000</v>
      </c>
      <c r="H48" s="70">
        <v>1500</v>
      </c>
      <c r="I48" s="17"/>
      <c r="J48" s="70">
        <v>2000</v>
      </c>
      <c r="K48" s="17"/>
      <c r="L48" s="17"/>
      <c r="M48" s="70">
        <v>2000</v>
      </c>
    </row>
  </sheetData>
  <mergeCells count="5">
    <mergeCell ref="B5:B6"/>
    <mergeCell ref="A37:I37"/>
    <mergeCell ref="C38:D38"/>
    <mergeCell ref="E38:F38"/>
    <mergeCell ref="G38:H38"/>
  </mergeCells>
  <pageMargins left="0.25" right="0.22" top="0.74803149606299213" bottom="0.74803149606299213" header="0.31496062992125984" footer="0.31496062992125984"/>
  <pageSetup paperSize="9" scale="6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64762-D286-474C-AC72-D491574910DE}">
  <dimension ref="A1:S10"/>
  <sheetViews>
    <sheetView workbookViewId="0">
      <selection activeCell="P16" sqref="P16"/>
    </sheetView>
  </sheetViews>
  <sheetFormatPr defaultRowHeight="14.4" x14ac:dyDescent="0.3"/>
  <cols>
    <col min="2" max="2" width="12.88671875" customWidth="1"/>
    <col min="3" max="3" width="13" customWidth="1"/>
    <col min="4" max="4" width="19.44140625" customWidth="1"/>
    <col min="5" max="5" width="18" customWidth="1"/>
    <col min="6" max="6" width="4.44140625" customWidth="1"/>
    <col min="7" max="7" width="6" customWidth="1"/>
    <col min="8" max="8" width="6.33203125" customWidth="1"/>
    <col min="11" max="11" width="7.109375" customWidth="1"/>
    <col min="12" max="12" width="4.109375" customWidth="1"/>
    <col min="13" max="13" width="4.44140625" customWidth="1"/>
    <col min="14" max="14" width="5.109375" customWidth="1"/>
    <col min="16" max="16" width="14.44140625" customWidth="1"/>
  </cols>
  <sheetData>
    <row r="1" spans="1:19" x14ac:dyDescent="0.3">
      <c r="A1" s="21" t="s">
        <v>529</v>
      </c>
    </row>
    <row r="5" spans="1:19" ht="57.6" x14ac:dyDescent="0.3">
      <c r="A5" s="17" t="s">
        <v>137</v>
      </c>
      <c r="B5" s="23" t="s">
        <v>138</v>
      </c>
      <c r="C5" s="23" t="s">
        <v>139</v>
      </c>
      <c r="D5" s="23" t="s">
        <v>140</v>
      </c>
      <c r="E5" s="23" t="s">
        <v>141</v>
      </c>
      <c r="F5" s="23" t="s">
        <v>142</v>
      </c>
      <c r="G5" s="23" t="s">
        <v>143</v>
      </c>
      <c r="H5" s="23" t="s">
        <v>144</v>
      </c>
      <c r="I5" s="23" t="s">
        <v>145</v>
      </c>
      <c r="J5" s="23" t="s">
        <v>241</v>
      </c>
      <c r="K5" s="23" t="s">
        <v>147</v>
      </c>
      <c r="L5" s="23" t="s">
        <v>148</v>
      </c>
      <c r="M5" s="23" t="s">
        <v>149</v>
      </c>
      <c r="N5" s="23" t="s">
        <v>150</v>
      </c>
      <c r="O5" s="23" t="s">
        <v>151</v>
      </c>
      <c r="P5" s="23" t="s">
        <v>152</v>
      </c>
      <c r="Q5" s="23" t="s">
        <v>153</v>
      </c>
      <c r="R5" s="23" t="s">
        <v>154</v>
      </c>
      <c r="S5" s="23" t="s">
        <v>221</v>
      </c>
    </row>
    <row r="6" spans="1:19" ht="43.2" x14ac:dyDescent="0.3">
      <c r="A6" s="17">
        <v>1</v>
      </c>
      <c r="B6" s="17" t="s">
        <v>568</v>
      </c>
      <c r="C6" s="17" t="s">
        <v>252</v>
      </c>
      <c r="D6" s="17" t="s">
        <v>569</v>
      </c>
      <c r="E6" s="23" t="s">
        <v>570</v>
      </c>
      <c r="F6" s="17"/>
      <c r="G6" s="17"/>
      <c r="H6" s="17"/>
      <c r="I6" s="17">
        <v>1490</v>
      </c>
      <c r="J6" s="18">
        <v>22675</v>
      </c>
      <c r="K6" s="17">
        <v>2004</v>
      </c>
      <c r="L6" s="17" t="s">
        <v>159</v>
      </c>
      <c r="M6" s="17" t="s">
        <v>159</v>
      </c>
      <c r="N6" s="17" t="s">
        <v>160</v>
      </c>
      <c r="O6" s="80">
        <v>0</v>
      </c>
      <c r="P6" s="23" t="s">
        <v>160</v>
      </c>
      <c r="Q6" s="17" t="s">
        <v>159</v>
      </c>
      <c r="R6" s="17" t="s">
        <v>159</v>
      </c>
      <c r="S6" s="17" t="s">
        <v>160</v>
      </c>
    </row>
    <row r="7" spans="1:19" ht="43.2" x14ac:dyDescent="0.3">
      <c r="A7" s="17">
        <v>2</v>
      </c>
      <c r="B7" s="17" t="s">
        <v>571</v>
      </c>
      <c r="C7" s="17" t="s">
        <v>252</v>
      </c>
      <c r="D7" s="17" t="s">
        <v>572</v>
      </c>
      <c r="E7" s="23" t="s">
        <v>573</v>
      </c>
      <c r="F7" s="17"/>
      <c r="G7" s="17"/>
      <c r="H7" s="17"/>
      <c r="I7" s="17">
        <v>1340</v>
      </c>
      <c r="J7" s="18">
        <v>21035</v>
      </c>
      <c r="K7" s="17">
        <v>2014</v>
      </c>
      <c r="L7" s="17" t="s">
        <v>159</v>
      </c>
      <c r="M7" s="17" t="s">
        <v>159</v>
      </c>
      <c r="N7" s="17" t="s">
        <v>159</v>
      </c>
      <c r="O7" s="80">
        <v>0</v>
      </c>
      <c r="P7" s="23" t="s">
        <v>574</v>
      </c>
      <c r="Q7" s="17" t="s">
        <v>159</v>
      </c>
      <c r="R7" s="17" t="s">
        <v>159</v>
      </c>
      <c r="S7" s="17" t="s">
        <v>160</v>
      </c>
    </row>
    <row r="9" spans="1:19" x14ac:dyDescent="0.3">
      <c r="J9" s="26"/>
    </row>
    <row r="10" spans="1:19" x14ac:dyDescent="0.3">
      <c r="J10" s="26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A10F2-8BC1-4F6F-B8E0-9D55051FD141}">
  <sheetPr>
    <pageSetUpPr fitToPage="1"/>
  </sheetPr>
  <dimension ref="A1:M18"/>
  <sheetViews>
    <sheetView topLeftCell="A4" zoomScale="85" zoomScaleNormal="85" workbookViewId="0">
      <selection activeCell="A14" sqref="A14"/>
    </sheetView>
  </sheetViews>
  <sheetFormatPr defaultRowHeight="14.4" x14ac:dyDescent="0.3"/>
  <cols>
    <col min="1" max="1" width="6.109375" customWidth="1"/>
    <col min="2" max="2" width="28.109375" customWidth="1"/>
    <col min="3" max="3" width="13.88671875" customWidth="1"/>
    <col min="4" max="4" width="15.5546875" customWidth="1"/>
    <col min="5" max="5" width="14.5546875" customWidth="1"/>
    <col min="6" max="6" width="16.5546875" customWidth="1"/>
    <col min="7" max="7" width="14.5546875" customWidth="1"/>
    <col min="8" max="8" width="13.44140625" customWidth="1"/>
    <col min="9" max="9" width="13.5546875" customWidth="1"/>
    <col min="10" max="10" width="12.88671875" customWidth="1"/>
    <col min="11" max="12" width="13.5546875" customWidth="1"/>
    <col min="13" max="13" width="13.44140625" bestFit="1" customWidth="1"/>
    <col min="25" max="25" width="9.5546875" bestFit="1" customWidth="1"/>
    <col min="255" max="255" width="6.109375" customWidth="1"/>
    <col min="256" max="256" width="28.109375" customWidth="1"/>
    <col min="257" max="257" width="13.88671875" customWidth="1"/>
    <col min="258" max="258" width="14.5546875" customWidth="1"/>
    <col min="259" max="259" width="15.5546875" customWidth="1"/>
    <col min="260" max="260" width="14.5546875" customWidth="1"/>
    <col min="261" max="261" width="16.5546875" customWidth="1"/>
    <col min="262" max="262" width="14.5546875" customWidth="1"/>
    <col min="263" max="263" width="11.5546875" customWidth="1"/>
    <col min="264" max="264" width="12.88671875" customWidth="1"/>
    <col min="265" max="266" width="13.5546875" customWidth="1"/>
    <col min="267" max="267" width="13.44140625" bestFit="1" customWidth="1"/>
    <col min="511" max="511" width="6.109375" customWidth="1"/>
    <col min="512" max="512" width="28.109375" customWidth="1"/>
    <col min="513" max="513" width="13.88671875" customWidth="1"/>
    <col min="514" max="514" width="14.5546875" customWidth="1"/>
    <col min="515" max="515" width="15.5546875" customWidth="1"/>
    <col min="516" max="516" width="14.5546875" customWidth="1"/>
    <col min="517" max="517" width="16.5546875" customWidth="1"/>
    <col min="518" max="518" width="14.5546875" customWidth="1"/>
    <col min="519" max="519" width="11.5546875" customWidth="1"/>
    <col min="520" max="520" width="12.88671875" customWidth="1"/>
    <col min="521" max="522" width="13.5546875" customWidth="1"/>
    <col min="523" max="523" width="13.44140625" bestFit="1" customWidth="1"/>
    <col min="767" max="767" width="6.109375" customWidth="1"/>
    <col min="768" max="768" width="28.109375" customWidth="1"/>
    <col min="769" max="769" width="13.88671875" customWidth="1"/>
    <col min="770" max="770" width="14.5546875" customWidth="1"/>
    <col min="771" max="771" width="15.5546875" customWidth="1"/>
    <col min="772" max="772" width="14.5546875" customWidth="1"/>
    <col min="773" max="773" width="16.5546875" customWidth="1"/>
    <col min="774" max="774" width="14.5546875" customWidth="1"/>
    <col min="775" max="775" width="11.5546875" customWidth="1"/>
    <col min="776" max="776" width="12.88671875" customWidth="1"/>
    <col min="777" max="778" width="13.5546875" customWidth="1"/>
    <col min="779" max="779" width="13.44140625" bestFit="1" customWidth="1"/>
    <col min="1023" max="1023" width="6.109375" customWidth="1"/>
    <col min="1024" max="1024" width="28.109375" customWidth="1"/>
    <col min="1025" max="1025" width="13.88671875" customWidth="1"/>
    <col min="1026" max="1026" width="14.5546875" customWidth="1"/>
    <col min="1027" max="1027" width="15.5546875" customWidth="1"/>
    <col min="1028" max="1028" width="14.5546875" customWidth="1"/>
    <col min="1029" max="1029" width="16.5546875" customWidth="1"/>
    <col min="1030" max="1030" width="14.5546875" customWidth="1"/>
    <col min="1031" max="1031" width="11.5546875" customWidth="1"/>
    <col min="1032" max="1032" width="12.88671875" customWidth="1"/>
    <col min="1033" max="1034" width="13.5546875" customWidth="1"/>
    <col min="1035" max="1035" width="13.44140625" bestFit="1" customWidth="1"/>
    <col min="1279" max="1279" width="6.109375" customWidth="1"/>
    <col min="1280" max="1280" width="28.109375" customWidth="1"/>
    <col min="1281" max="1281" width="13.88671875" customWidth="1"/>
    <col min="1282" max="1282" width="14.5546875" customWidth="1"/>
    <col min="1283" max="1283" width="15.5546875" customWidth="1"/>
    <col min="1284" max="1284" width="14.5546875" customWidth="1"/>
    <col min="1285" max="1285" width="16.5546875" customWidth="1"/>
    <col min="1286" max="1286" width="14.5546875" customWidth="1"/>
    <col min="1287" max="1287" width="11.5546875" customWidth="1"/>
    <col min="1288" max="1288" width="12.88671875" customWidth="1"/>
    <col min="1289" max="1290" width="13.5546875" customWidth="1"/>
    <col min="1291" max="1291" width="13.44140625" bestFit="1" customWidth="1"/>
    <col min="1535" max="1535" width="6.109375" customWidth="1"/>
    <col min="1536" max="1536" width="28.109375" customWidth="1"/>
    <col min="1537" max="1537" width="13.88671875" customWidth="1"/>
    <col min="1538" max="1538" width="14.5546875" customWidth="1"/>
    <col min="1539" max="1539" width="15.5546875" customWidth="1"/>
    <col min="1540" max="1540" width="14.5546875" customWidth="1"/>
    <col min="1541" max="1541" width="16.5546875" customWidth="1"/>
    <col min="1542" max="1542" width="14.5546875" customWidth="1"/>
    <col min="1543" max="1543" width="11.5546875" customWidth="1"/>
    <col min="1544" max="1544" width="12.88671875" customWidth="1"/>
    <col min="1545" max="1546" width="13.5546875" customWidth="1"/>
    <col min="1547" max="1547" width="13.44140625" bestFit="1" customWidth="1"/>
    <col min="1791" max="1791" width="6.109375" customWidth="1"/>
    <col min="1792" max="1792" width="28.109375" customWidth="1"/>
    <col min="1793" max="1793" width="13.88671875" customWidth="1"/>
    <col min="1794" max="1794" width="14.5546875" customWidth="1"/>
    <col min="1795" max="1795" width="15.5546875" customWidth="1"/>
    <col min="1796" max="1796" width="14.5546875" customWidth="1"/>
    <col min="1797" max="1797" width="16.5546875" customWidth="1"/>
    <col min="1798" max="1798" width="14.5546875" customWidth="1"/>
    <col min="1799" max="1799" width="11.5546875" customWidth="1"/>
    <col min="1800" max="1800" width="12.88671875" customWidth="1"/>
    <col min="1801" max="1802" width="13.5546875" customWidth="1"/>
    <col min="1803" max="1803" width="13.44140625" bestFit="1" customWidth="1"/>
    <col min="2047" max="2047" width="6.109375" customWidth="1"/>
    <col min="2048" max="2048" width="28.109375" customWidth="1"/>
    <col min="2049" max="2049" width="13.88671875" customWidth="1"/>
    <col min="2050" max="2050" width="14.5546875" customWidth="1"/>
    <col min="2051" max="2051" width="15.5546875" customWidth="1"/>
    <col min="2052" max="2052" width="14.5546875" customWidth="1"/>
    <col min="2053" max="2053" width="16.5546875" customWidth="1"/>
    <col min="2054" max="2054" width="14.5546875" customWidth="1"/>
    <col min="2055" max="2055" width="11.5546875" customWidth="1"/>
    <col min="2056" max="2056" width="12.88671875" customWidth="1"/>
    <col min="2057" max="2058" width="13.5546875" customWidth="1"/>
    <col min="2059" max="2059" width="13.44140625" bestFit="1" customWidth="1"/>
    <col min="2303" max="2303" width="6.109375" customWidth="1"/>
    <col min="2304" max="2304" width="28.109375" customWidth="1"/>
    <col min="2305" max="2305" width="13.88671875" customWidth="1"/>
    <col min="2306" max="2306" width="14.5546875" customWidth="1"/>
    <col min="2307" max="2307" width="15.5546875" customWidth="1"/>
    <col min="2308" max="2308" width="14.5546875" customWidth="1"/>
    <col min="2309" max="2309" width="16.5546875" customWidth="1"/>
    <col min="2310" max="2310" width="14.5546875" customWidth="1"/>
    <col min="2311" max="2311" width="11.5546875" customWidth="1"/>
    <col min="2312" max="2312" width="12.88671875" customWidth="1"/>
    <col min="2313" max="2314" width="13.5546875" customWidth="1"/>
    <col min="2315" max="2315" width="13.44140625" bestFit="1" customWidth="1"/>
    <col min="2559" max="2559" width="6.109375" customWidth="1"/>
    <col min="2560" max="2560" width="28.109375" customWidth="1"/>
    <col min="2561" max="2561" width="13.88671875" customWidth="1"/>
    <col min="2562" max="2562" width="14.5546875" customWidth="1"/>
    <col min="2563" max="2563" width="15.5546875" customWidth="1"/>
    <col min="2564" max="2564" width="14.5546875" customWidth="1"/>
    <col min="2565" max="2565" width="16.5546875" customWidth="1"/>
    <col min="2566" max="2566" width="14.5546875" customWidth="1"/>
    <col min="2567" max="2567" width="11.5546875" customWidth="1"/>
    <col min="2568" max="2568" width="12.88671875" customWidth="1"/>
    <col min="2569" max="2570" width="13.5546875" customWidth="1"/>
    <col min="2571" max="2571" width="13.44140625" bestFit="1" customWidth="1"/>
    <col min="2815" max="2815" width="6.109375" customWidth="1"/>
    <col min="2816" max="2816" width="28.109375" customWidth="1"/>
    <col min="2817" max="2817" width="13.88671875" customWidth="1"/>
    <col min="2818" max="2818" width="14.5546875" customWidth="1"/>
    <col min="2819" max="2819" width="15.5546875" customWidth="1"/>
    <col min="2820" max="2820" width="14.5546875" customWidth="1"/>
    <col min="2821" max="2821" width="16.5546875" customWidth="1"/>
    <col min="2822" max="2822" width="14.5546875" customWidth="1"/>
    <col min="2823" max="2823" width="11.5546875" customWidth="1"/>
    <col min="2824" max="2824" width="12.88671875" customWidth="1"/>
    <col min="2825" max="2826" width="13.5546875" customWidth="1"/>
    <col min="2827" max="2827" width="13.44140625" bestFit="1" customWidth="1"/>
    <col min="3071" max="3071" width="6.109375" customWidth="1"/>
    <col min="3072" max="3072" width="28.109375" customWidth="1"/>
    <col min="3073" max="3073" width="13.88671875" customWidth="1"/>
    <col min="3074" max="3074" width="14.5546875" customWidth="1"/>
    <col min="3075" max="3075" width="15.5546875" customWidth="1"/>
    <col min="3076" max="3076" width="14.5546875" customWidth="1"/>
    <col min="3077" max="3077" width="16.5546875" customWidth="1"/>
    <col min="3078" max="3078" width="14.5546875" customWidth="1"/>
    <col min="3079" max="3079" width="11.5546875" customWidth="1"/>
    <col min="3080" max="3080" width="12.88671875" customWidth="1"/>
    <col min="3081" max="3082" width="13.5546875" customWidth="1"/>
    <col min="3083" max="3083" width="13.44140625" bestFit="1" customWidth="1"/>
    <col min="3327" max="3327" width="6.109375" customWidth="1"/>
    <col min="3328" max="3328" width="28.109375" customWidth="1"/>
    <col min="3329" max="3329" width="13.88671875" customWidth="1"/>
    <col min="3330" max="3330" width="14.5546875" customWidth="1"/>
    <col min="3331" max="3331" width="15.5546875" customWidth="1"/>
    <col min="3332" max="3332" width="14.5546875" customWidth="1"/>
    <col min="3333" max="3333" width="16.5546875" customWidth="1"/>
    <col min="3334" max="3334" width="14.5546875" customWidth="1"/>
    <col min="3335" max="3335" width="11.5546875" customWidth="1"/>
    <col min="3336" max="3336" width="12.88671875" customWidth="1"/>
    <col min="3337" max="3338" width="13.5546875" customWidth="1"/>
    <col min="3339" max="3339" width="13.44140625" bestFit="1" customWidth="1"/>
    <col min="3583" max="3583" width="6.109375" customWidth="1"/>
    <col min="3584" max="3584" width="28.109375" customWidth="1"/>
    <col min="3585" max="3585" width="13.88671875" customWidth="1"/>
    <col min="3586" max="3586" width="14.5546875" customWidth="1"/>
    <col min="3587" max="3587" width="15.5546875" customWidth="1"/>
    <col min="3588" max="3588" width="14.5546875" customWidth="1"/>
    <col min="3589" max="3589" width="16.5546875" customWidth="1"/>
    <col min="3590" max="3590" width="14.5546875" customWidth="1"/>
    <col min="3591" max="3591" width="11.5546875" customWidth="1"/>
    <col min="3592" max="3592" width="12.88671875" customWidth="1"/>
    <col min="3593" max="3594" width="13.5546875" customWidth="1"/>
    <col min="3595" max="3595" width="13.44140625" bestFit="1" customWidth="1"/>
    <col min="3839" max="3839" width="6.109375" customWidth="1"/>
    <col min="3840" max="3840" width="28.109375" customWidth="1"/>
    <col min="3841" max="3841" width="13.88671875" customWidth="1"/>
    <col min="3842" max="3842" width="14.5546875" customWidth="1"/>
    <col min="3843" max="3843" width="15.5546875" customWidth="1"/>
    <col min="3844" max="3844" width="14.5546875" customWidth="1"/>
    <col min="3845" max="3845" width="16.5546875" customWidth="1"/>
    <col min="3846" max="3846" width="14.5546875" customWidth="1"/>
    <col min="3847" max="3847" width="11.5546875" customWidth="1"/>
    <col min="3848" max="3848" width="12.88671875" customWidth="1"/>
    <col min="3849" max="3850" width="13.5546875" customWidth="1"/>
    <col min="3851" max="3851" width="13.44140625" bestFit="1" customWidth="1"/>
    <col min="4095" max="4095" width="6.109375" customWidth="1"/>
    <col min="4096" max="4096" width="28.109375" customWidth="1"/>
    <col min="4097" max="4097" width="13.88671875" customWidth="1"/>
    <col min="4098" max="4098" width="14.5546875" customWidth="1"/>
    <col min="4099" max="4099" width="15.5546875" customWidth="1"/>
    <col min="4100" max="4100" width="14.5546875" customWidth="1"/>
    <col min="4101" max="4101" width="16.5546875" customWidth="1"/>
    <col min="4102" max="4102" width="14.5546875" customWidth="1"/>
    <col min="4103" max="4103" width="11.5546875" customWidth="1"/>
    <col min="4104" max="4104" width="12.88671875" customWidth="1"/>
    <col min="4105" max="4106" width="13.5546875" customWidth="1"/>
    <col min="4107" max="4107" width="13.44140625" bestFit="1" customWidth="1"/>
    <col min="4351" max="4351" width="6.109375" customWidth="1"/>
    <col min="4352" max="4352" width="28.109375" customWidth="1"/>
    <col min="4353" max="4353" width="13.88671875" customWidth="1"/>
    <col min="4354" max="4354" width="14.5546875" customWidth="1"/>
    <col min="4355" max="4355" width="15.5546875" customWidth="1"/>
    <col min="4356" max="4356" width="14.5546875" customWidth="1"/>
    <col min="4357" max="4357" width="16.5546875" customWidth="1"/>
    <col min="4358" max="4358" width="14.5546875" customWidth="1"/>
    <col min="4359" max="4359" width="11.5546875" customWidth="1"/>
    <col min="4360" max="4360" width="12.88671875" customWidth="1"/>
    <col min="4361" max="4362" width="13.5546875" customWidth="1"/>
    <col min="4363" max="4363" width="13.44140625" bestFit="1" customWidth="1"/>
    <col min="4607" max="4607" width="6.109375" customWidth="1"/>
    <col min="4608" max="4608" width="28.109375" customWidth="1"/>
    <col min="4609" max="4609" width="13.88671875" customWidth="1"/>
    <col min="4610" max="4610" width="14.5546875" customWidth="1"/>
    <col min="4611" max="4611" width="15.5546875" customWidth="1"/>
    <col min="4612" max="4612" width="14.5546875" customWidth="1"/>
    <col min="4613" max="4613" width="16.5546875" customWidth="1"/>
    <col min="4614" max="4614" width="14.5546875" customWidth="1"/>
    <col min="4615" max="4615" width="11.5546875" customWidth="1"/>
    <col min="4616" max="4616" width="12.88671875" customWidth="1"/>
    <col min="4617" max="4618" width="13.5546875" customWidth="1"/>
    <col min="4619" max="4619" width="13.44140625" bestFit="1" customWidth="1"/>
    <col min="4863" max="4863" width="6.109375" customWidth="1"/>
    <col min="4864" max="4864" width="28.109375" customWidth="1"/>
    <col min="4865" max="4865" width="13.88671875" customWidth="1"/>
    <col min="4866" max="4866" width="14.5546875" customWidth="1"/>
    <col min="4867" max="4867" width="15.5546875" customWidth="1"/>
    <col min="4868" max="4868" width="14.5546875" customWidth="1"/>
    <col min="4869" max="4869" width="16.5546875" customWidth="1"/>
    <col min="4870" max="4870" width="14.5546875" customWidth="1"/>
    <col min="4871" max="4871" width="11.5546875" customWidth="1"/>
    <col min="4872" max="4872" width="12.88671875" customWidth="1"/>
    <col min="4873" max="4874" width="13.5546875" customWidth="1"/>
    <col min="4875" max="4875" width="13.44140625" bestFit="1" customWidth="1"/>
    <col min="5119" max="5119" width="6.109375" customWidth="1"/>
    <col min="5120" max="5120" width="28.109375" customWidth="1"/>
    <col min="5121" max="5121" width="13.88671875" customWidth="1"/>
    <col min="5122" max="5122" width="14.5546875" customWidth="1"/>
    <col min="5123" max="5123" width="15.5546875" customWidth="1"/>
    <col min="5124" max="5124" width="14.5546875" customWidth="1"/>
    <col min="5125" max="5125" width="16.5546875" customWidth="1"/>
    <col min="5126" max="5126" width="14.5546875" customWidth="1"/>
    <col min="5127" max="5127" width="11.5546875" customWidth="1"/>
    <col min="5128" max="5128" width="12.88671875" customWidth="1"/>
    <col min="5129" max="5130" width="13.5546875" customWidth="1"/>
    <col min="5131" max="5131" width="13.44140625" bestFit="1" customWidth="1"/>
    <col min="5375" max="5375" width="6.109375" customWidth="1"/>
    <col min="5376" max="5376" width="28.109375" customWidth="1"/>
    <col min="5377" max="5377" width="13.88671875" customWidth="1"/>
    <col min="5378" max="5378" width="14.5546875" customWidth="1"/>
    <col min="5379" max="5379" width="15.5546875" customWidth="1"/>
    <col min="5380" max="5380" width="14.5546875" customWidth="1"/>
    <col min="5381" max="5381" width="16.5546875" customWidth="1"/>
    <col min="5382" max="5382" width="14.5546875" customWidth="1"/>
    <col min="5383" max="5383" width="11.5546875" customWidth="1"/>
    <col min="5384" max="5384" width="12.88671875" customWidth="1"/>
    <col min="5385" max="5386" width="13.5546875" customWidth="1"/>
    <col min="5387" max="5387" width="13.44140625" bestFit="1" customWidth="1"/>
    <col min="5631" max="5631" width="6.109375" customWidth="1"/>
    <col min="5632" max="5632" width="28.109375" customWidth="1"/>
    <col min="5633" max="5633" width="13.88671875" customWidth="1"/>
    <col min="5634" max="5634" width="14.5546875" customWidth="1"/>
    <col min="5635" max="5635" width="15.5546875" customWidth="1"/>
    <col min="5636" max="5636" width="14.5546875" customWidth="1"/>
    <col min="5637" max="5637" width="16.5546875" customWidth="1"/>
    <col min="5638" max="5638" width="14.5546875" customWidth="1"/>
    <col min="5639" max="5639" width="11.5546875" customWidth="1"/>
    <col min="5640" max="5640" width="12.88671875" customWidth="1"/>
    <col min="5641" max="5642" width="13.5546875" customWidth="1"/>
    <col min="5643" max="5643" width="13.44140625" bestFit="1" customWidth="1"/>
    <col min="5887" max="5887" width="6.109375" customWidth="1"/>
    <col min="5888" max="5888" width="28.109375" customWidth="1"/>
    <col min="5889" max="5889" width="13.88671875" customWidth="1"/>
    <col min="5890" max="5890" width="14.5546875" customWidth="1"/>
    <col min="5891" max="5891" width="15.5546875" customWidth="1"/>
    <col min="5892" max="5892" width="14.5546875" customWidth="1"/>
    <col min="5893" max="5893" width="16.5546875" customWidth="1"/>
    <col min="5894" max="5894" width="14.5546875" customWidth="1"/>
    <col min="5895" max="5895" width="11.5546875" customWidth="1"/>
    <col min="5896" max="5896" width="12.88671875" customWidth="1"/>
    <col min="5897" max="5898" width="13.5546875" customWidth="1"/>
    <col min="5899" max="5899" width="13.44140625" bestFit="1" customWidth="1"/>
    <col min="6143" max="6143" width="6.109375" customWidth="1"/>
    <col min="6144" max="6144" width="28.109375" customWidth="1"/>
    <col min="6145" max="6145" width="13.88671875" customWidth="1"/>
    <col min="6146" max="6146" width="14.5546875" customWidth="1"/>
    <col min="6147" max="6147" width="15.5546875" customWidth="1"/>
    <col min="6148" max="6148" width="14.5546875" customWidth="1"/>
    <col min="6149" max="6149" width="16.5546875" customWidth="1"/>
    <col min="6150" max="6150" width="14.5546875" customWidth="1"/>
    <col min="6151" max="6151" width="11.5546875" customWidth="1"/>
    <col min="6152" max="6152" width="12.88671875" customWidth="1"/>
    <col min="6153" max="6154" width="13.5546875" customWidth="1"/>
    <col min="6155" max="6155" width="13.44140625" bestFit="1" customWidth="1"/>
    <col min="6399" max="6399" width="6.109375" customWidth="1"/>
    <col min="6400" max="6400" width="28.109375" customWidth="1"/>
    <col min="6401" max="6401" width="13.88671875" customWidth="1"/>
    <col min="6402" max="6402" width="14.5546875" customWidth="1"/>
    <col min="6403" max="6403" width="15.5546875" customWidth="1"/>
    <col min="6404" max="6404" width="14.5546875" customWidth="1"/>
    <col min="6405" max="6405" width="16.5546875" customWidth="1"/>
    <col min="6406" max="6406" width="14.5546875" customWidth="1"/>
    <col min="6407" max="6407" width="11.5546875" customWidth="1"/>
    <col min="6408" max="6408" width="12.88671875" customWidth="1"/>
    <col min="6409" max="6410" width="13.5546875" customWidth="1"/>
    <col min="6411" max="6411" width="13.44140625" bestFit="1" customWidth="1"/>
    <col min="6655" max="6655" width="6.109375" customWidth="1"/>
    <col min="6656" max="6656" width="28.109375" customWidth="1"/>
    <col min="6657" max="6657" width="13.88671875" customWidth="1"/>
    <col min="6658" max="6658" width="14.5546875" customWidth="1"/>
    <col min="6659" max="6659" width="15.5546875" customWidth="1"/>
    <col min="6660" max="6660" width="14.5546875" customWidth="1"/>
    <col min="6661" max="6661" width="16.5546875" customWidth="1"/>
    <col min="6662" max="6662" width="14.5546875" customWidth="1"/>
    <col min="6663" max="6663" width="11.5546875" customWidth="1"/>
    <col min="6664" max="6664" width="12.88671875" customWidth="1"/>
    <col min="6665" max="6666" width="13.5546875" customWidth="1"/>
    <col min="6667" max="6667" width="13.44140625" bestFit="1" customWidth="1"/>
    <col min="6911" max="6911" width="6.109375" customWidth="1"/>
    <col min="6912" max="6912" width="28.109375" customWidth="1"/>
    <col min="6913" max="6913" width="13.88671875" customWidth="1"/>
    <col min="6914" max="6914" width="14.5546875" customWidth="1"/>
    <col min="6915" max="6915" width="15.5546875" customWidth="1"/>
    <col min="6916" max="6916" width="14.5546875" customWidth="1"/>
    <col min="6917" max="6917" width="16.5546875" customWidth="1"/>
    <col min="6918" max="6918" width="14.5546875" customWidth="1"/>
    <col min="6919" max="6919" width="11.5546875" customWidth="1"/>
    <col min="6920" max="6920" width="12.88671875" customWidth="1"/>
    <col min="6921" max="6922" width="13.5546875" customWidth="1"/>
    <col min="6923" max="6923" width="13.44140625" bestFit="1" customWidth="1"/>
    <col min="7167" max="7167" width="6.109375" customWidth="1"/>
    <col min="7168" max="7168" width="28.109375" customWidth="1"/>
    <col min="7169" max="7169" width="13.88671875" customWidth="1"/>
    <col min="7170" max="7170" width="14.5546875" customWidth="1"/>
    <col min="7171" max="7171" width="15.5546875" customWidth="1"/>
    <col min="7172" max="7172" width="14.5546875" customWidth="1"/>
    <col min="7173" max="7173" width="16.5546875" customWidth="1"/>
    <col min="7174" max="7174" width="14.5546875" customWidth="1"/>
    <col min="7175" max="7175" width="11.5546875" customWidth="1"/>
    <col min="7176" max="7176" width="12.88671875" customWidth="1"/>
    <col min="7177" max="7178" width="13.5546875" customWidth="1"/>
    <col min="7179" max="7179" width="13.44140625" bestFit="1" customWidth="1"/>
    <col min="7423" max="7423" width="6.109375" customWidth="1"/>
    <col min="7424" max="7424" width="28.109375" customWidth="1"/>
    <col min="7425" max="7425" width="13.88671875" customWidth="1"/>
    <col min="7426" max="7426" width="14.5546875" customWidth="1"/>
    <col min="7427" max="7427" width="15.5546875" customWidth="1"/>
    <col min="7428" max="7428" width="14.5546875" customWidth="1"/>
    <col min="7429" max="7429" width="16.5546875" customWidth="1"/>
    <col min="7430" max="7430" width="14.5546875" customWidth="1"/>
    <col min="7431" max="7431" width="11.5546875" customWidth="1"/>
    <col min="7432" max="7432" width="12.88671875" customWidth="1"/>
    <col min="7433" max="7434" width="13.5546875" customWidth="1"/>
    <col min="7435" max="7435" width="13.44140625" bestFit="1" customWidth="1"/>
    <col min="7679" max="7679" width="6.109375" customWidth="1"/>
    <col min="7680" max="7680" width="28.109375" customWidth="1"/>
    <col min="7681" max="7681" width="13.88671875" customWidth="1"/>
    <col min="7682" max="7682" width="14.5546875" customWidth="1"/>
    <col min="7683" max="7683" width="15.5546875" customWidth="1"/>
    <col min="7684" max="7684" width="14.5546875" customWidth="1"/>
    <col min="7685" max="7685" width="16.5546875" customWidth="1"/>
    <col min="7686" max="7686" width="14.5546875" customWidth="1"/>
    <col min="7687" max="7687" width="11.5546875" customWidth="1"/>
    <col min="7688" max="7688" width="12.88671875" customWidth="1"/>
    <col min="7689" max="7690" width="13.5546875" customWidth="1"/>
    <col min="7691" max="7691" width="13.44140625" bestFit="1" customWidth="1"/>
    <col min="7935" max="7935" width="6.109375" customWidth="1"/>
    <col min="7936" max="7936" width="28.109375" customWidth="1"/>
    <col min="7937" max="7937" width="13.88671875" customWidth="1"/>
    <col min="7938" max="7938" width="14.5546875" customWidth="1"/>
    <col min="7939" max="7939" width="15.5546875" customWidth="1"/>
    <col min="7940" max="7940" width="14.5546875" customWidth="1"/>
    <col min="7941" max="7941" width="16.5546875" customWidth="1"/>
    <col min="7942" max="7942" width="14.5546875" customWidth="1"/>
    <col min="7943" max="7943" width="11.5546875" customWidth="1"/>
    <col min="7944" max="7944" width="12.88671875" customWidth="1"/>
    <col min="7945" max="7946" width="13.5546875" customWidth="1"/>
    <col min="7947" max="7947" width="13.44140625" bestFit="1" customWidth="1"/>
    <col min="8191" max="8191" width="6.109375" customWidth="1"/>
    <col min="8192" max="8192" width="28.109375" customWidth="1"/>
    <col min="8193" max="8193" width="13.88671875" customWidth="1"/>
    <col min="8194" max="8194" width="14.5546875" customWidth="1"/>
    <col min="8195" max="8195" width="15.5546875" customWidth="1"/>
    <col min="8196" max="8196" width="14.5546875" customWidth="1"/>
    <col min="8197" max="8197" width="16.5546875" customWidth="1"/>
    <col min="8198" max="8198" width="14.5546875" customWidth="1"/>
    <col min="8199" max="8199" width="11.5546875" customWidth="1"/>
    <col min="8200" max="8200" width="12.88671875" customWidth="1"/>
    <col min="8201" max="8202" width="13.5546875" customWidth="1"/>
    <col min="8203" max="8203" width="13.44140625" bestFit="1" customWidth="1"/>
    <col min="8447" max="8447" width="6.109375" customWidth="1"/>
    <col min="8448" max="8448" width="28.109375" customWidth="1"/>
    <col min="8449" max="8449" width="13.88671875" customWidth="1"/>
    <col min="8450" max="8450" width="14.5546875" customWidth="1"/>
    <col min="8451" max="8451" width="15.5546875" customWidth="1"/>
    <col min="8452" max="8452" width="14.5546875" customWidth="1"/>
    <col min="8453" max="8453" width="16.5546875" customWidth="1"/>
    <col min="8454" max="8454" width="14.5546875" customWidth="1"/>
    <col min="8455" max="8455" width="11.5546875" customWidth="1"/>
    <col min="8456" max="8456" width="12.88671875" customWidth="1"/>
    <col min="8457" max="8458" width="13.5546875" customWidth="1"/>
    <col min="8459" max="8459" width="13.44140625" bestFit="1" customWidth="1"/>
    <col min="8703" max="8703" width="6.109375" customWidth="1"/>
    <col min="8704" max="8704" width="28.109375" customWidth="1"/>
    <col min="8705" max="8705" width="13.88671875" customWidth="1"/>
    <col min="8706" max="8706" width="14.5546875" customWidth="1"/>
    <col min="8707" max="8707" width="15.5546875" customWidth="1"/>
    <col min="8708" max="8708" width="14.5546875" customWidth="1"/>
    <col min="8709" max="8709" width="16.5546875" customWidth="1"/>
    <col min="8710" max="8710" width="14.5546875" customWidth="1"/>
    <col min="8711" max="8711" width="11.5546875" customWidth="1"/>
    <col min="8712" max="8712" width="12.88671875" customWidth="1"/>
    <col min="8713" max="8714" width="13.5546875" customWidth="1"/>
    <col min="8715" max="8715" width="13.44140625" bestFit="1" customWidth="1"/>
    <col min="8959" max="8959" width="6.109375" customWidth="1"/>
    <col min="8960" max="8960" width="28.109375" customWidth="1"/>
    <col min="8961" max="8961" width="13.88671875" customWidth="1"/>
    <col min="8962" max="8962" width="14.5546875" customWidth="1"/>
    <col min="8963" max="8963" width="15.5546875" customWidth="1"/>
    <col min="8964" max="8964" width="14.5546875" customWidth="1"/>
    <col min="8965" max="8965" width="16.5546875" customWidth="1"/>
    <col min="8966" max="8966" width="14.5546875" customWidth="1"/>
    <col min="8967" max="8967" width="11.5546875" customWidth="1"/>
    <col min="8968" max="8968" width="12.88671875" customWidth="1"/>
    <col min="8969" max="8970" width="13.5546875" customWidth="1"/>
    <col min="8971" max="8971" width="13.44140625" bestFit="1" customWidth="1"/>
    <col min="9215" max="9215" width="6.109375" customWidth="1"/>
    <col min="9216" max="9216" width="28.109375" customWidth="1"/>
    <col min="9217" max="9217" width="13.88671875" customWidth="1"/>
    <col min="9218" max="9218" width="14.5546875" customWidth="1"/>
    <col min="9219" max="9219" width="15.5546875" customWidth="1"/>
    <col min="9220" max="9220" width="14.5546875" customWidth="1"/>
    <col min="9221" max="9221" width="16.5546875" customWidth="1"/>
    <col min="9222" max="9222" width="14.5546875" customWidth="1"/>
    <col min="9223" max="9223" width="11.5546875" customWidth="1"/>
    <col min="9224" max="9224" width="12.88671875" customWidth="1"/>
    <col min="9225" max="9226" width="13.5546875" customWidth="1"/>
    <col min="9227" max="9227" width="13.44140625" bestFit="1" customWidth="1"/>
    <col min="9471" max="9471" width="6.109375" customWidth="1"/>
    <col min="9472" max="9472" width="28.109375" customWidth="1"/>
    <col min="9473" max="9473" width="13.88671875" customWidth="1"/>
    <col min="9474" max="9474" width="14.5546875" customWidth="1"/>
    <col min="9475" max="9475" width="15.5546875" customWidth="1"/>
    <col min="9476" max="9476" width="14.5546875" customWidth="1"/>
    <col min="9477" max="9477" width="16.5546875" customWidth="1"/>
    <col min="9478" max="9478" width="14.5546875" customWidth="1"/>
    <col min="9479" max="9479" width="11.5546875" customWidth="1"/>
    <col min="9480" max="9480" width="12.88671875" customWidth="1"/>
    <col min="9481" max="9482" width="13.5546875" customWidth="1"/>
    <col min="9483" max="9483" width="13.44140625" bestFit="1" customWidth="1"/>
    <col min="9727" max="9727" width="6.109375" customWidth="1"/>
    <col min="9728" max="9728" width="28.109375" customWidth="1"/>
    <col min="9729" max="9729" width="13.88671875" customWidth="1"/>
    <col min="9730" max="9730" width="14.5546875" customWidth="1"/>
    <col min="9731" max="9731" width="15.5546875" customWidth="1"/>
    <col min="9732" max="9732" width="14.5546875" customWidth="1"/>
    <col min="9733" max="9733" width="16.5546875" customWidth="1"/>
    <col min="9734" max="9734" width="14.5546875" customWidth="1"/>
    <col min="9735" max="9735" width="11.5546875" customWidth="1"/>
    <col min="9736" max="9736" width="12.88671875" customWidth="1"/>
    <col min="9737" max="9738" width="13.5546875" customWidth="1"/>
    <col min="9739" max="9739" width="13.44140625" bestFit="1" customWidth="1"/>
    <col min="9983" max="9983" width="6.109375" customWidth="1"/>
    <col min="9984" max="9984" width="28.109375" customWidth="1"/>
    <col min="9985" max="9985" width="13.88671875" customWidth="1"/>
    <col min="9986" max="9986" width="14.5546875" customWidth="1"/>
    <col min="9987" max="9987" width="15.5546875" customWidth="1"/>
    <col min="9988" max="9988" width="14.5546875" customWidth="1"/>
    <col min="9989" max="9989" width="16.5546875" customWidth="1"/>
    <col min="9990" max="9990" width="14.5546875" customWidth="1"/>
    <col min="9991" max="9991" width="11.5546875" customWidth="1"/>
    <col min="9992" max="9992" width="12.88671875" customWidth="1"/>
    <col min="9993" max="9994" width="13.5546875" customWidth="1"/>
    <col min="9995" max="9995" width="13.44140625" bestFit="1" customWidth="1"/>
    <col min="10239" max="10239" width="6.109375" customWidth="1"/>
    <col min="10240" max="10240" width="28.109375" customWidth="1"/>
    <col min="10241" max="10241" width="13.88671875" customWidth="1"/>
    <col min="10242" max="10242" width="14.5546875" customWidth="1"/>
    <col min="10243" max="10243" width="15.5546875" customWidth="1"/>
    <col min="10244" max="10244" width="14.5546875" customWidth="1"/>
    <col min="10245" max="10245" width="16.5546875" customWidth="1"/>
    <col min="10246" max="10246" width="14.5546875" customWidth="1"/>
    <col min="10247" max="10247" width="11.5546875" customWidth="1"/>
    <col min="10248" max="10248" width="12.88671875" customWidth="1"/>
    <col min="10249" max="10250" width="13.5546875" customWidth="1"/>
    <col min="10251" max="10251" width="13.44140625" bestFit="1" customWidth="1"/>
    <col min="10495" max="10495" width="6.109375" customWidth="1"/>
    <col min="10496" max="10496" width="28.109375" customWidth="1"/>
    <col min="10497" max="10497" width="13.88671875" customWidth="1"/>
    <col min="10498" max="10498" width="14.5546875" customWidth="1"/>
    <col min="10499" max="10499" width="15.5546875" customWidth="1"/>
    <col min="10500" max="10500" width="14.5546875" customWidth="1"/>
    <col min="10501" max="10501" width="16.5546875" customWidth="1"/>
    <col min="10502" max="10502" width="14.5546875" customWidth="1"/>
    <col min="10503" max="10503" width="11.5546875" customWidth="1"/>
    <col min="10504" max="10504" width="12.88671875" customWidth="1"/>
    <col min="10505" max="10506" width="13.5546875" customWidth="1"/>
    <col min="10507" max="10507" width="13.44140625" bestFit="1" customWidth="1"/>
    <col min="10751" max="10751" width="6.109375" customWidth="1"/>
    <col min="10752" max="10752" width="28.109375" customWidth="1"/>
    <col min="10753" max="10753" width="13.88671875" customWidth="1"/>
    <col min="10754" max="10754" width="14.5546875" customWidth="1"/>
    <col min="10755" max="10755" width="15.5546875" customWidth="1"/>
    <col min="10756" max="10756" width="14.5546875" customWidth="1"/>
    <col min="10757" max="10757" width="16.5546875" customWidth="1"/>
    <col min="10758" max="10758" width="14.5546875" customWidth="1"/>
    <col min="10759" max="10759" width="11.5546875" customWidth="1"/>
    <col min="10760" max="10760" width="12.88671875" customWidth="1"/>
    <col min="10761" max="10762" width="13.5546875" customWidth="1"/>
    <col min="10763" max="10763" width="13.44140625" bestFit="1" customWidth="1"/>
    <col min="11007" max="11007" width="6.109375" customWidth="1"/>
    <col min="11008" max="11008" width="28.109375" customWidth="1"/>
    <col min="11009" max="11009" width="13.88671875" customWidth="1"/>
    <col min="11010" max="11010" width="14.5546875" customWidth="1"/>
    <col min="11011" max="11011" width="15.5546875" customWidth="1"/>
    <col min="11012" max="11012" width="14.5546875" customWidth="1"/>
    <col min="11013" max="11013" width="16.5546875" customWidth="1"/>
    <col min="11014" max="11014" width="14.5546875" customWidth="1"/>
    <col min="11015" max="11015" width="11.5546875" customWidth="1"/>
    <col min="11016" max="11016" width="12.88671875" customWidth="1"/>
    <col min="11017" max="11018" width="13.5546875" customWidth="1"/>
    <col min="11019" max="11019" width="13.44140625" bestFit="1" customWidth="1"/>
    <col min="11263" max="11263" width="6.109375" customWidth="1"/>
    <col min="11264" max="11264" width="28.109375" customWidth="1"/>
    <col min="11265" max="11265" width="13.88671875" customWidth="1"/>
    <col min="11266" max="11266" width="14.5546875" customWidth="1"/>
    <col min="11267" max="11267" width="15.5546875" customWidth="1"/>
    <col min="11268" max="11268" width="14.5546875" customWidth="1"/>
    <col min="11269" max="11269" width="16.5546875" customWidth="1"/>
    <col min="11270" max="11270" width="14.5546875" customWidth="1"/>
    <col min="11271" max="11271" width="11.5546875" customWidth="1"/>
    <col min="11272" max="11272" width="12.88671875" customWidth="1"/>
    <col min="11273" max="11274" width="13.5546875" customWidth="1"/>
    <col min="11275" max="11275" width="13.44140625" bestFit="1" customWidth="1"/>
    <col min="11519" max="11519" width="6.109375" customWidth="1"/>
    <col min="11520" max="11520" width="28.109375" customWidth="1"/>
    <col min="11521" max="11521" width="13.88671875" customWidth="1"/>
    <col min="11522" max="11522" width="14.5546875" customWidth="1"/>
    <col min="11523" max="11523" width="15.5546875" customWidth="1"/>
    <col min="11524" max="11524" width="14.5546875" customWidth="1"/>
    <col min="11525" max="11525" width="16.5546875" customWidth="1"/>
    <col min="11526" max="11526" width="14.5546875" customWidth="1"/>
    <col min="11527" max="11527" width="11.5546875" customWidth="1"/>
    <col min="11528" max="11528" width="12.88671875" customWidth="1"/>
    <col min="11529" max="11530" width="13.5546875" customWidth="1"/>
    <col min="11531" max="11531" width="13.44140625" bestFit="1" customWidth="1"/>
    <col min="11775" max="11775" width="6.109375" customWidth="1"/>
    <col min="11776" max="11776" width="28.109375" customWidth="1"/>
    <col min="11777" max="11777" width="13.88671875" customWidth="1"/>
    <col min="11778" max="11778" width="14.5546875" customWidth="1"/>
    <col min="11779" max="11779" width="15.5546875" customWidth="1"/>
    <col min="11780" max="11780" width="14.5546875" customWidth="1"/>
    <col min="11781" max="11781" width="16.5546875" customWidth="1"/>
    <col min="11782" max="11782" width="14.5546875" customWidth="1"/>
    <col min="11783" max="11783" width="11.5546875" customWidth="1"/>
    <col min="11784" max="11784" width="12.88671875" customWidth="1"/>
    <col min="11785" max="11786" width="13.5546875" customWidth="1"/>
    <col min="11787" max="11787" width="13.44140625" bestFit="1" customWidth="1"/>
    <col min="12031" max="12031" width="6.109375" customWidth="1"/>
    <col min="12032" max="12032" width="28.109375" customWidth="1"/>
    <col min="12033" max="12033" width="13.88671875" customWidth="1"/>
    <col min="12034" max="12034" width="14.5546875" customWidth="1"/>
    <col min="12035" max="12035" width="15.5546875" customWidth="1"/>
    <col min="12036" max="12036" width="14.5546875" customWidth="1"/>
    <col min="12037" max="12037" width="16.5546875" customWidth="1"/>
    <col min="12038" max="12038" width="14.5546875" customWidth="1"/>
    <col min="12039" max="12039" width="11.5546875" customWidth="1"/>
    <col min="12040" max="12040" width="12.88671875" customWidth="1"/>
    <col min="12041" max="12042" width="13.5546875" customWidth="1"/>
    <col min="12043" max="12043" width="13.44140625" bestFit="1" customWidth="1"/>
    <col min="12287" max="12287" width="6.109375" customWidth="1"/>
    <col min="12288" max="12288" width="28.109375" customWidth="1"/>
    <col min="12289" max="12289" width="13.88671875" customWidth="1"/>
    <col min="12290" max="12290" width="14.5546875" customWidth="1"/>
    <col min="12291" max="12291" width="15.5546875" customWidth="1"/>
    <col min="12292" max="12292" width="14.5546875" customWidth="1"/>
    <col min="12293" max="12293" width="16.5546875" customWidth="1"/>
    <col min="12294" max="12294" width="14.5546875" customWidth="1"/>
    <col min="12295" max="12295" width="11.5546875" customWidth="1"/>
    <col min="12296" max="12296" width="12.88671875" customWidth="1"/>
    <col min="12297" max="12298" width="13.5546875" customWidth="1"/>
    <col min="12299" max="12299" width="13.44140625" bestFit="1" customWidth="1"/>
    <col min="12543" max="12543" width="6.109375" customWidth="1"/>
    <col min="12544" max="12544" width="28.109375" customWidth="1"/>
    <col min="12545" max="12545" width="13.88671875" customWidth="1"/>
    <col min="12546" max="12546" width="14.5546875" customWidth="1"/>
    <col min="12547" max="12547" width="15.5546875" customWidth="1"/>
    <col min="12548" max="12548" width="14.5546875" customWidth="1"/>
    <col min="12549" max="12549" width="16.5546875" customWidth="1"/>
    <col min="12550" max="12550" width="14.5546875" customWidth="1"/>
    <col min="12551" max="12551" width="11.5546875" customWidth="1"/>
    <col min="12552" max="12552" width="12.88671875" customWidth="1"/>
    <col min="12553" max="12554" width="13.5546875" customWidth="1"/>
    <col min="12555" max="12555" width="13.44140625" bestFit="1" customWidth="1"/>
    <col min="12799" max="12799" width="6.109375" customWidth="1"/>
    <col min="12800" max="12800" width="28.109375" customWidth="1"/>
    <col min="12801" max="12801" width="13.88671875" customWidth="1"/>
    <col min="12802" max="12802" width="14.5546875" customWidth="1"/>
    <col min="12803" max="12803" width="15.5546875" customWidth="1"/>
    <col min="12804" max="12804" width="14.5546875" customWidth="1"/>
    <col min="12805" max="12805" width="16.5546875" customWidth="1"/>
    <col min="12806" max="12806" width="14.5546875" customWidth="1"/>
    <col min="12807" max="12807" width="11.5546875" customWidth="1"/>
    <col min="12808" max="12808" width="12.88671875" customWidth="1"/>
    <col min="12809" max="12810" width="13.5546875" customWidth="1"/>
    <col min="12811" max="12811" width="13.44140625" bestFit="1" customWidth="1"/>
    <col min="13055" max="13055" width="6.109375" customWidth="1"/>
    <col min="13056" max="13056" width="28.109375" customWidth="1"/>
    <col min="13057" max="13057" width="13.88671875" customWidth="1"/>
    <col min="13058" max="13058" width="14.5546875" customWidth="1"/>
    <col min="13059" max="13059" width="15.5546875" customWidth="1"/>
    <col min="13060" max="13060" width="14.5546875" customWidth="1"/>
    <col min="13061" max="13061" width="16.5546875" customWidth="1"/>
    <col min="13062" max="13062" width="14.5546875" customWidth="1"/>
    <col min="13063" max="13063" width="11.5546875" customWidth="1"/>
    <col min="13064" max="13064" width="12.88671875" customWidth="1"/>
    <col min="13065" max="13066" width="13.5546875" customWidth="1"/>
    <col min="13067" max="13067" width="13.44140625" bestFit="1" customWidth="1"/>
    <col min="13311" max="13311" width="6.109375" customWidth="1"/>
    <col min="13312" max="13312" width="28.109375" customWidth="1"/>
    <col min="13313" max="13313" width="13.88671875" customWidth="1"/>
    <col min="13314" max="13314" width="14.5546875" customWidth="1"/>
    <col min="13315" max="13315" width="15.5546875" customWidth="1"/>
    <col min="13316" max="13316" width="14.5546875" customWidth="1"/>
    <col min="13317" max="13317" width="16.5546875" customWidth="1"/>
    <col min="13318" max="13318" width="14.5546875" customWidth="1"/>
    <col min="13319" max="13319" width="11.5546875" customWidth="1"/>
    <col min="13320" max="13320" width="12.88671875" customWidth="1"/>
    <col min="13321" max="13322" width="13.5546875" customWidth="1"/>
    <col min="13323" max="13323" width="13.44140625" bestFit="1" customWidth="1"/>
    <col min="13567" max="13567" width="6.109375" customWidth="1"/>
    <col min="13568" max="13568" width="28.109375" customWidth="1"/>
    <col min="13569" max="13569" width="13.88671875" customWidth="1"/>
    <col min="13570" max="13570" width="14.5546875" customWidth="1"/>
    <col min="13571" max="13571" width="15.5546875" customWidth="1"/>
    <col min="13572" max="13572" width="14.5546875" customWidth="1"/>
    <col min="13573" max="13573" width="16.5546875" customWidth="1"/>
    <col min="13574" max="13574" width="14.5546875" customWidth="1"/>
    <col min="13575" max="13575" width="11.5546875" customWidth="1"/>
    <col min="13576" max="13576" width="12.88671875" customWidth="1"/>
    <col min="13577" max="13578" width="13.5546875" customWidth="1"/>
    <col min="13579" max="13579" width="13.44140625" bestFit="1" customWidth="1"/>
    <col min="13823" max="13823" width="6.109375" customWidth="1"/>
    <col min="13824" max="13824" width="28.109375" customWidth="1"/>
    <col min="13825" max="13825" width="13.88671875" customWidth="1"/>
    <col min="13826" max="13826" width="14.5546875" customWidth="1"/>
    <col min="13827" max="13827" width="15.5546875" customWidth="1"/>
    <col min="13828" max="13828" width="14.5546875" customWidth="1"/>
    <col min="13829" max="13829" width="16.5546875" customWidth="1"/>
    <col min="13830" max="13830" width="14.5546875" customWidth="1"/>
    <col min="13831" max="13831" width="11.5546875" customWidth="1"/>
    <col min="13832" max="13832" width="12.88671875" customWidth="1"/>
    <col min="13833" max="13834" width="13.5546875" customWidth="1"/>
    <col min="13835" max="13835" width="13.44140625" bestFit="1" customWidth="1"/>
    <col min="14079" max="14079" width="6.109375" customWidth="1"/>
    <col min="14080" max="14080" width="28.109375" customWidth="1"/>
    <col min="14081" max="14081" width="13.88671875" customWidth="1"/>
    <col min="14082" max="14082" width="14.5546875" customWidth="1"/>
    <col min="14083" max="14083" width="15.5546875" customWidth="1"/>
    <col min="14084" max="14084" width="14.5546875" customWidth="1"/>
    <col min="14085" max="14085" width="16.5546875" customWidth="1"/>
    <col min="14086" max="14086" width="14.5546875" customWidth="1"/>
    <col min="14087" max="14087" width="11.5546875" customWidth="1"/>
    <col min="14088" max="14088" width="12.88671875" customWidth="1"/>
    <col min="14089" max="14090" width="13.5546875" customWidth="1"/>
    <col min="14091" max="14091" width="13.44140625" bestFit="1" customWidth="1"/>
    <col min="14335" max="14335" width="6.109375" customWidth="1"/>
    <col min="14336" max="14336" width="28.109375" customWidth="1"/>
    <col min="14337" max="14337" width="13.88671875" customWidth="1"/>
    <col min="14338" max="14338" width="14.5546875" customWidth="1"/>
    <col min="14339" max="14339" width="15.5546875" customWidth="1"/>
    <col min="14340" max="14340" width="14.5546875" customWidth="1"/>
    <col min="14341" max="14341" width="16.5546875" customWidth="1"/>
    <col min="14342" max="14342" width="14.5546875" customWidth="1"/>
    <col min="14343" max="14343" width="11.5546875" customWidth="1"/>
    <col min="14344" max="14344" width="12.88671875" customWidth="1"/>
    <col min="14345" max="14346" width="13.5546875" customWidth="1"/>
    <col min="14347" max="14347" width="13.44140625" bestFit="1" customWidth="1"/>
    <col min="14591" max="14591" width="6.109375" customWidth="1"/>
    <col min="14592" max="14592" width="28.109375" customWidth="1"/>
    <col min="14593" max="14593" width="13.88671875" customWidth="1"/>
    <col min="14594" max="14594" width="14.5546875" customWidth="1"/>
    <col min="14595" max="14595" width="15.5546875" customWidth="1"/>
    <col min="14596" max="14596" width="14.5546875" customWidth="1"/>
    <col min="14597" max="14597" width="16.5546875" customWidth="1"/>
    <col min="14598" max="14598" width="14.5546875" customWidth="1"/>
    <col min="14599" max="14599" width="11.5546875" customWidth="1"/>
    <col min="14600" max="14600" width="12.88671875" customWidth="1"/>
    <col min="14601" max="14602" width="13.5546875" customWidth="1"/>
    <col min="14603" max="14603" width="13.44140625" bestFit="1" customWidth="1"/>
    <col min="14847" max="14847" width="6.109375" customWidth="1"/>
    <col min="14848" max="14848" width="28.109375" customWidth="1"/>
    <col min="14849" max="14849" width="13.88671875" customWidth="1"/>
    <col min="14850" max="14850" width="14.5546875" customWidth="1"/>
    <col min="14851" max="14851" width="15.5546875" customWidth="1"/>
    <col min="14852" max="14852" width="14.5546875" customWidth="1"/>
    <col min="14853" max="14853" width="16.5546875" customWidth="1"/>
    <col min="14854" max="14854" width="14.5546875" customWidth="1"/>
    <col min="14855" max="14855" width="11.5546875" customWidth="1"/>
    <col min="14856" max="14856" width="12.88671875" customWidth="1"/>
    <col min="14857" max="14858" width="13.5546875" customWidth="1"/>
    <col min="14859" max="14859" width="13.44140625" bestFit="1" customWidth="1"/>
    <col min="15103" max="15103" width="6.109375" customWidth="1"/>
    <col min="15104" max="15104" width="28.109375" customWidth="1"/>
    <col min="15105" max="15105" width="13.88671875" customWidth="1"/>
    <col min="15106" max="15106" width="14.5546875" customWidth="1"/>
    <col min="15107" max="15107" width="15.5546875" customWidth="1"/>
    <col min="15108" max="15108" width="14.5546875" customWidth="1"/>
    <col min="15109" max="15109" width="16.5546875" customWidth="1"/>
    <col min="15110" max="15110" width="14.5546875" customWidth="1"/>
    <col min="15111" max="15111" width="11.5546875" customWidth="1"/>
    <col min="15112" max="15112" width="12.88671875" customWidth="1"/>
    <col min="15113" max="15114" width="13.5546875" customWidth="1"/>
    <col min="15115" max="15115" width="13.44140625" bestFit="1" customWidth="1"/>
    <col min="15359" max="15359" width="6.109375" customWidth="1"/>
    <col min="15360" max="15360" width="28.109375" customWidth="1"/>
    <col min="15361" max="15361" width="13.88671875" customWidth="1"/>
    <col min="15362" max="15362" width="14.5546875" customWidth="1"/>
    <col min="15363" max="15363" width="15.5546875" customWidth="1"/>
    <col min="15364" max="15364" width="14.5546875" customWidth="1"/>
    <col min="15365" max="15365" width="16.5546875" customWidth="1"/>
    <col min="15366" max="15366" width="14.5546875" customWidth="1"/>
    <col min="15367" max="15367" width="11.5546875" customWidth="1"/>
    <col min="15368" max="15368" width="12.88671875" customWidth="1"/>
    <col min="15369" max="15370" width="13.5546875" customWidth="1"/>
    <col min="15371" max="15371" width="13.44140625" bestFit="1" customWidth="1"/>
    <col min="15615" max="15615" width="6.109375" customWidth="1"/>
    <col min="15616" max="15616" width="28.109375" customWidth="1"/>
    <col min="15617" max="15617" width="13.88671875" customWidth="1"/>
    <col min="15618" max="15618" width="14.5546875" customWidth="1"/>
    <col min="15619" max="15619" width="15.5546875" customWidth="1"/>
    <col min="15620" max="15620" width="14.5546875" customWidth="1"/>
    <col min="15621" max="15621" width="16.5546875" customWidth="1"/>
    <col min="15622" max="15622" width="14.5546875" customWidth="1"/>
    <col min="15623" max="15623" width="11.5546875" customWidth="1"/>
    <col min="15624" max="15624" width="12.88671875" customWidth="1"/>
    <col min="15625" max="15626" width="13.5546875" customWidth="1"/>
    <col min="15627" max="15627" width="13.44140625" bestFit="1" customWidth="1"/>
    <col min="15871" max="15871" width="6.109375" customWidth="1"/>
    <col min="15872" max="15872" width="28.109375" customWidth="1"/>
    <col min="15873" max="15873" width="13.88671875" customWidth="1"/>
    <col min="15874" max="15874" width="14.5546875" customWidth="1"/>
    <col min="15875" max="15875" width="15.5546875" customWidth="1"/>
    <col min="15876" max="15876" width="14.5546875" customWidth="1"/>
    <col min="15877" max="15877" width="16.5546875" customWidth="1"/>
    <col min="15878" max="15878" width="14.5546875" customWidth="1"/>
    <col min="15879" max="15879" width="11.5546875" customWidth="1"/>
    <col min="15880" max="15880" width="12.88671875" customWidth="1"/>
    <col min="15881" max="15882" width="13.5546875" customWidth="1"/>
    <col min="15883" max="15883" width="13.44140625" bestFit="1" customWidth="1"/>
    <col min="16127" max="16127" width="6.109375" customWidth="1"/>
    <col min="16128" max="16128" width="28.109375" customWidth="1"/>
    <col min="16129" max="16129" width="13.88671875" customWidth="1"/>
    <col min="16130" max="16130" width="14.5546875" customWidth="1"/>
    <col min="16131" max="16131" width="15.5546875" customWidth="1"/>
    <col min="16132" max="16132" width="14.5546875" customWidth="1"/>
    <col min="16133" max="16133" width="16.5546875" customWidth="1"/>
    <col min="16134" max="16134" width="14.5546875" customWidth="1"/>
    <col min="16135" max="16135" width="11.5546875" customWidth="1"/>
    <col min="16136" max="16136" width="12.88671875" customWidth="1"/>
    <col min="16137" max="16138" width="13.5546875" customWidth="1"/>
    <col min="16139" max="16139" width="13.44140625" bestFit="1" customWidth="1"/>
  </cols>
  <sheetData>
    <row r="1" spans="1:13" ht="18" x14ac:dyDescent="0.35">
      <c r="B1" s="29" t="s">
        <v>575</v>
      </c>
    </row>
    <row r="3" spans="1:13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1"/>
      <c r="L3" s="31"/>
      <c r="M3" s="30"/>
    </row>
    <row r="4" spans="1:13" s="40" customFormat="1" x14ac:dyDescent="0.3">
      <c r="A4" s="33"/>
      <c r="B4" s="908" t="s">
        <v>236</v>
      </c>
      <c r="C4" s="34" t="s">
        <v>1</v>
      </c>
      <c r="D4" s="35" t="s">
        <v>2</v>
      </c>
      <c r="E4" s="36" t="s">
        <v>3</v>
      </c>
      <c r="F4" s="36" t="s">
        <v>4</v>
      </c>
      <c r="G4" s="36" t="s">
        <v>5</v>
      </c>
      <c r="H4" s="36" t="s">
        <v>6</v>
      </c>
      <c r="I4" s="37" t="s">
        <v>7</v>
      </c>
      <c r="J4" s="37" t="s">
        <v>8</v>
      </c>
      <c r="K4" s="37" t="s">
        <v>9</v>
      </c>
      <c r="L4" s="37" t="s">
        <v>10</v>
      </c>
      <c r="M4" s="38"/>
    </row>
    <row r="5" spans="1:13" ht="106.2" customHeight="1" x14ac:dyDescent="0.3">
      <c r="A5" s="41" t="s">
        <v>189</v>
      </c>
      <c r="B5" s="909"/>
      <c r="C5" s="42" t="s">
        <v>190</v>
      </c>
      <c r="D5" s="36" t="s">
        <v>12</v>
      </c>
      <c r="E5" s="36" t="s">
        <v>13</v>
      </c>
      <c r="F5" s="36" t="s">
        <v>14</v>
      </c>
      <c r="G5" s="36" t="s">
        <v>15</v>
      </c>
      <c r="H5" s="36" t="s">
        <v>191</v>
      </c>
      <c r="I5" s="43" t="s">
        <v>17</v>
      </c>
      <c r="J5" s="43" t="s">
        <v>18</v>
      </c>
      <c r="K5" s="43" t="s">
        <v>19</v>
      </c>
      <c r="L5" s="43" t="s">
        <v>360</v>
      </c>
      <c r="M5" s="36" t="s">
        <v>193</v>
      </c>
    </row>
    <row r="6" spans="1:13" s="40" customFormat="1" x14ac:dyDescent="0.3">
      <c r="A6" s="44"/>
      <c r="B6" s="123" t="s">
        <v>576</v>
      </c>
      <c r="C6" s="563">
        <v>752490</v>
      </c>
      <c r="D6" s="564">
        <f>SUM(E6:L6)</f>
        <v>123620.77</v>
      </c>
      <c r="E6" s="90"/>
      <c r="F6" s="90">
        <v>11091.91</v>
      </c>
      <c r="G6" s="55">
        <v>20651.64</v>
      </c>
      <c r="H6" s="90"/>
      <c r="I6" s="90">
        <v>32762.28</v>
      </c>
      <c r="J6" s="90">
        <v>38463.300000000003</v>
      </c>
      <c r="K6" s="90">
        <v>20651.64</v>
      </c>
      <c r="L6" s="90"/>
      <c r="M6" s="92">
        <v>11</v>
      </c>
    </row>
    <row r="7" spans="1:13" x14ac:dyDescent="0.3">
      <c r="A7" s="51"/>
      <c r="B7" s="52"/>
      <c r="C7" s="50"/>
      <c r="D7" s="49"/>
      <c r="E7" s="50"/>
      <c r="F7" s="50"/>
      <c r="G7" s="50"/>
      <c r="H7" s="50"/>
      <c r="I7" s="50"/>
      <c r="J7" s="50"/>
      <c r="K7" s="50"/>
      <c r="L7" s="50"/>
      <c r="M7" s="19"/>
    </row>
    <row r="8" spans="1:13" x14ac:dyDescent="0.3">
      <c r="A8" s="30"/>
      <c r="B8" s="30"/>
      <c r="C8" s="30"/>
      <c r="D8" s="30"/>
      <c r="E8" s="30"/>
      <c r="F8" s="30"/>
      <c r="H8" s="30"/>
      <c r="I8" s="30"/>
      <c r="J8" s="30"/>
      <c r="K8" s="31"/>
      <c r="L8" s="31"/>
    </row>
    <row r="9" spans="1:13" x14ac:dyDescent="0.3">
      <c r="A9" s="30"/>
      <c r="B9" s="30"/>
      <c r="C9" s="30"/>
      <c r="D9" s="30"/>
      <c r="E9" s="30"/>
      <c r="F9" s="55"/>
      <c r="G9" s="30"/>
      <c r="H9" s="30"/>
      <c r="I9" s="30"/>
      <c r="J9" s="30"/>
      <c r="K9" s="31"/>
      <c r="L9" s="31"/>
      <c r="M9" s="30"/>
    </row>
    <row r="10" spans="1:13" x14ac:dyDescent="0.3">
      <c r="A10" s="30"/>
      <c r="B10" s="95" t="s">
        <v>197</v>
      </c>
      <c r="C10" s="30"/>
      <c r="D10" s="30"/>
      <c r="E10" s="30"/>
      <c r="F10" s="30"/>
      <c r="G10" s="30"/>
      <c r="H10" s="30"/>
      <c r="I10" s="30"/>
      <c r="J10" s="95"/>
      <c r="K10" s="30"/>
      <c r="L10" s="30"/>
      <c r="M10" s="30"/>
    </row>
    <row r="11" spans="1:13" s="40" customFormat="1" ht="57.6" x14ac:dyDescent="0.3">
      <c r="A11" s="17" t="s">
        <v>189</v>
      </c>
      <c r="B11" s="23" t="s">
        <v>361</v>
      </c>
      <c r="C11" s="23" t="s">
        <v>199</v>
      </c>
      <c r="D11" s="23" t="s">
        <v>200</v>
      </c>
      <c r="E11" s="23" t="s">
        <v>201</v>
      </c>
      <c r="F11" s="23" t="s">
        <v>202</v>
      </c>
      <c r="G11" s="23" t="s">
        <v>53</v>
      </c>
      <c r="H11" s="97" t="s">
        <v>203</v>
      </c>
      <c r="I11" s="59" t="s">
        <v>204</v>
      </c>
      <c r="K11" s="89"/>
      <c r="L11" s="96"/>
      <c r="M11" s="96"/>
    </row>
    <row r="12" spans="1:13" s="24" customFormat="1" ht="28.8" x14ac:dyDescent="0.3">
      <c r="A12" s="17"/>
      <c r="B12" s="23" t="s">
        <v>577</v>
      </c>
      <c r="C12" s="23">
        <v>1972</v>
      </c>
      <c r="D12" s="23">
        <v>1999</v>
      </c>
      <c r="E12" s="78"/>
      <c r="F12" s="78" t="s">
        <v>401</v>
      </c>
      <c r="G12" s="23">
        <v>752.49</v>
      </c>
      <c r="H12" s="97">
        <v>2</v>
      </c>
      <c r="I12" s="565">
        <f>G12*1000</f>
        <v>752490</v>
      </c>
      <c r="K12" s="99"/>
    </row>
    <row r="13" spans="1:13" s="24" customFormat="1" x14ac:dyDescent="0.3">
      <c r="A13"/>
      <c r="B13" s="56"/>
      <c r="C13" s="56"/>
      <c r="D13" s="56"/>
      <c r="E13" s="566"/>
      <c r="F13" s="566"/>
      <c r="G13" s="56"/>
      <c r="H13" s="56"/>
      <c r="I13" s="26"/>
      <c r="K13" s="99"/>
    </row>
    <row r="14" spans="1:13" s="1" customFormat="1" ht="15" thickBot="1" x14ac:dyDescent="0.35">
      <c r="A14" s="320" t="s">
        <v>607</v>
      </c>
      <c r="B14" s="56"/>
      <c r="C14"/>
      <c r="D14" s="56"/>
      <c r="E14"/>
      <c r="F14"/>
      <c r="G14"/>
      <c r="H14"/>
      <c r="I14"/>
      <c r="J14"/>
    </row>
    <row r="15" spans="1:13" ht="15" thickBot="1" x14ac:dyDescent="0.35">
      <c r="A15" s="872" t="s">
        <v>37</v>
      </c>
      <c r="B15" s="873"/>
      <c r="C15" s="873"/>
      <c r="D15" s="873"/>
      <c r="E15" s="873"/>
      <c r="F15" s="873"/>
      <c r="G15" s="873"/>
      <c r="H15" s="873"/>
      <c r="I15" s="874"/>
      <c r="J15" s="2"/>
      <c r="K15" s="3" t="s">
        <v>38</v>
      </c>
      <c r="L15" s="4"/>
      <c r="M15" s="5"/>
    </row>
    <row r="16" spans="1:13" ht="97.2" thickBot="1" x14ac:dyDescent="0.35">
      <c r="A16" s="100"/>
      <c r="B16" s="101" t="s">
        <v>40</v>
      </c>
      <c r="C16" s="899" t="s">
        <v>41</v>
      </c>
      <c r="D16" s="900"/>
      <c r="E16" s="901" t="s">
        <v>42</v>
      </c>
      <c r="F16" s="902"/>
      <c r="G16" s="899" t="s">
        <v>43</v>
      </c>
      <c r="H16" s="900"/>
      <c r="I16" s="7" t="s">
        <v>578</v>
      </c>
      <c r="J16" s="7" t="s">
        <v>208</v>
      </c>
      <c r="K16" s="8" t="s">
        <v>45</v>
      </c>
      <c r="L16" s="7" t="s">
        <v>46</v>
      </c>
      <c r="M16" s="6" t="s">
        <v>39</v>
      </c>
    </row>
    <row r="17" spans="1:13" x14ac:dyDescent="0.3">
      <c r="A17" s="9"/>
      <c r="B17" s="10"/>
      <c r="C17" s="11" t="s">
        <v>48</v>
      </c>
      <c r="D17" s="12" t="s">
        <v>49</v>
      </c>
      <c r="E17" s="13" t="s">
        <v>48</v>
      </c>
      <c r="F17" s="13" t="s">
        <v>49</v>
      </c>
      <c r="G17" s="12" t="s">
        <v>48</v>
      </c>
      <c r="H17" s="12" t="s">
        <v>49</v>
      </c>
      <c r="I17" s="14"/>
      <c r="J17" s="103"/>
      <c r="K17" s="12"/>
      <c r="L17" s="12"/>
      <c r="M17" s="15"/>
    </row>
    <row r="18" spans="1:13" x14ac:dyDescent="0.3">
      <c r="A18" s="105"/>
      <c r="B18" s="106" t="s">
        <v>579</v>
      </c>
      <c r="C18" s="70">
        <v>4200</v>
      </c>
      <c r="D18" s="70">
        <v>2100</v>
      </c>
      <c r="E18" s="16">
        <v>0</v>
      </c>
      <c r="F18" s="16">
        <v>0</v>
      </c>
      <c r="G18" s="16">
        <v>10000</v>
      </c>
      <c r="H18" s="16">
        <v>2100</v>
      </c>
      <c r="I18" s="16">
        <v>0</v>
      </c>
      <c r="J18" s="16">
        <v>2000</v>
      </c>
      <c r="K18" s="16">
        <v>0</v>
      </c>
      <c r="L18" s="16">
        <v>0</v>
      </c>
      <c r="M18" s="16">
        <v>2000</v>
      </c>
    </row>
  </sheetData>
  <mergeCells count="5">
    <mergeCell ref="B4:B5"/>
    <mergeCell ref="A15:I15"/>
    <mergeCell ref="C16:D16"/>
    <mergeCell ref="E16:F16"/>
    <mergeCell ref="G16:H16"/>
  </mergeCells>
  <pageMargins left="0.25" right="0.2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8C41D-299F-459D-B32A-ED4E7874DF78}">
  <dimension ref="A1:F19"/>
  <sheetViews>
    <sheetView workbookViewId="0">
      <selection activeCell="J19" sqref="J19"/>
    </sheetView>
  </sheetViews>
  <sheetFormatPr defaultRowHeight="14.4" x14ac:dyDescent="0.3"/>
  <cols>
    <col min="1" max="1" width="5.109375" customWidth="1"/>
    <col min="2" max="2" width="37.6640625" bestFit="1" customWidth="1"/>
    <col min="3" max="3" width="17.6640625" bestFit="1" customWidth="1"/>
    <col min="4" max="4" width="7.6640625" bestFit="1" customWidth="1"/>
    <col min="5" max="5" width="18" bestFit="1" customWidth="1"/>
    <col min="6" max="6" width="21.33203125" customWidth="1"/>
    <col min="258" max="258" width="37.6640625" bestFit="1" customWidth="1"/>
    <col min="259" max="259" width="17.6640625" bestFit="1" customWidth="1"/>
    <col min="260" max="260" width="7.6640625" bestFit="1" customWidth="1"/>
    <col min="261" max="261" width="18" bestFit="1" customWidth="1"/>
    <col min="262" max="262" width="15" bestFit="1" customWidth="1"/>
    <col min="514" max="514" width="37.6640625" bestFit="1" customWidth="1"/>
    <col min="515" max="515" width="17.6640625" bestFit="1" customWidth="1"/>
    <col min="516" max="516" width="7.6640625" bestFit="1" customWidth="1"/>
    <col min="517" max="517" width="18" bestFit="1" customWidth="1"/>
    <col min="518" max="518" width="15" bestFit="1" customWidth="1"/>
    <col min="770" max="770" width="37.6640625" bestFit="1" customWidth="1"/>
    <col min="771" max="771" width="17.6640625" bestFit="1" customWidth="1"/>
    <col min="772" max="772" width="7.6640625" bestFit="1" customWidth="1"/>
    <col min="773" max="773" width="18" bestFit="1" customWidth="1"/>
    <col min="774" max="774" width="15" bestFit="1" customWidth="1"/>
    <col min="1026" max="1026" width="37.6640625" bestFit="1" customWidth="1"/>
    <col min="1027" max="1027" width="17.6640625" bestFit="1" customWidth="1"/>
    <col min="1028" max="1028" width="7.6640625" bestFit="1" customWidth="1"/>
    <col min="1029" max="1029" width="18" bestFit="1" customWidth="1"/>
    <col min="1030" max="1030" width="15" bestFit="1" customWidth="1"/>
    <col min="1282" max="1282" width="37.6640625" bestFit="1" customWidth="1"/>
    <col min="1283" max="1283" width="17.6640625" bestFit="1" customWidth="1"/>
    <col min="1284" max="1284" width="7.6640625" bestFit="1" customWidth="1"/>
    <col min="1285" max="1285" width="18" bestFit="1" customWidth="1"/>
    <col min="1286" max="1286" width="15" bestFit="1" customWidth="1"/>
    <col min="1538" max="1538" width="37.6640625" bestFit="1" customWidth="1"/>
    <col min="1539" max="1539" width="17.6640625" bestFit="1" customWidth="1"/>
    <col min="1540" max="1540" width="7.6640625" bestFit="1" customWidth="1"/>
    <col min="1541" max="1541" width="18" bestFit="1" customWidth="1"/>
    <col min="1542" max="1542" width="15" bestFit="1" customWidth="1"/>
    <col min="1794" max="1794" width="37.6640625" bestFit="1" customWidth="1"/>
    <col min="1795" max="1795" width="17.6640625" bestFit="1" customWidth="1"/>
    <col min="1796" max="1796" width="7.6640625" bestFit="1" customWidth="1"/>
    <col min="1797" max="1797" width="18" bestFit="1" customWidth="1"/>
    <col min="1798" max="1798" width="15" bestFit="1" customWidth="1"/>
    <col min="2050" max="2050" width="37.6640625" bestFit="1" customWidth="1"/>
    <col min="2051" max="2051" width="17.6640625" bestFit="1" customWidth="1"/>
    <col min="2052" max="2052" width="7.6640625" bestFit="1" customWidth="1"/>
    <col min="2053" max="2053" width="18" bestFit="1" customWidth="1"/>
    <col min="2054" max="2054" width="15" bestFit="1" customWidth="1"/>
    <col min="2306" max="2306" width="37.6640625" bestFit="1" customWidth="1"/>
    <col min="2307" max="2307" width="17.6640625" bestFit="1" customWidth="1"/>
    <col min="2308" max="2308" width="7.6640625" bestFit="1" customWidth="1"/>
    <col min="2309" max="2309" width="18" bestFit="1" customWidth="1"/>
    <col min="2310" max="2310" width="15" bestFit="1" customWidth="1"/>
    <col min="2562" max="2562" width="37.6640625" bestFit="1" customWidth="1"/>
    <col min="2563" max="2563" width="17.6640625" bestFit="1" customWidth="1"/>
    <col min="2564" max="2564" width="7.6640625" bestFit="1" customWidth="1"/>
    <col min="2565" max="2565" width="18" bestFit="1" customWidth="1"/>
    <col min="2566" max="2566" width="15" bestFit="1" customWidth="1"/>
    <col min="2818" max="2818" width="37.6640625" bestFit="1" customWidth="1"/>
    <col min="2819" max="2819" width="17.6640625" bestFit="1" customWidth="1"/>
    <col min="2820" max="2820" width="7.6640625" bestFit="1" customWidth="1"/>
    <col min="2821" max="2821" width="18" bestFit="1" customWidth="1"/>
    <col min="2822" max="2822" width="15" bestFit="1" customWidth="1"/>
    <col min="3074" max="3074" width="37.6640625" bestFit="1" customWidth="1"/>
    <col min="3075" max="3075" width="17.6640625" bestFit="1" customWidth="1"/>
    <col min="3076" max="3076" width="7.6640625" bestFit="1" customWidth="1"/>
    <col min="3077" max="3077" width="18" bestFit="1" customWidth="1"/>
    <col min="3078" max="3078" width="15" bestFit="1" customWidth="1"/>
    <col min="3330" max="3330" width="37.6640625" bestFit="1" customWidth="1"/>
    <col min="3331" max="3331" width="17.6640625" bestFit="1" customWidth="1"/>
    <col min="3332" max="3332" width="7.6640625" bestFit="1" customWidth="1"/>
    <col min="3333" max="3333" width="18" bestFit="1" customWidth="1"/>
    <col min="3334" max="3334" width="15" bestFit="1" customWidth="1"/>
    <col min="3586" max="3586" width="37.6640625" bestFit="1" customWidth="1"/>
    <col min="3587" max="3587" width="17.6640625" bestFit="1" customWidth="1"/>
    <col min="3588" max="3588" width="7.6640625" bestFit="1" customWidth="1"/>
    <col min="3589" max="3589" width="18" bestFit="1" customWidth="1"/>
    <col min="3590" max="3590" width="15" bestFit="1" customWidth="1"/>
    <col min="3842" max="3842" width="37.6640625" bestFit="1" customWidth="1"/>
    <col min="3843" max="3843" width="17.6640625" bestFit="1" customWidth="1"/>
    <col min="3844" max="3844" width="7.6640625" bestFit="1" customWidth="1"/>
    <col min="3845" max="3845" width="18" bestFit="1" customWidth="1"/>
    <col min="3846" max="3846" width="15" bestFit="1" customWidth="1"/>
    <col min="4098" max="4098" width="37.6640625" bestFit="1" customWidth="1"/>
    <col min="4099" max="4099" width="17.6640625" bestFit="1" customWidth="1"/>
    <col min="4100" max="4100" width="7.6640625" bestFit="1" customWidth="1"/>
    <col min="4101" max="4101" width="18" bestFit="1" customWidth="1"/>
    <col min="4102" max="4102" width="15" bestFit="1" customWidth="1"/>
    <col min="4354" max="4354" width="37.6640625" bestFit="1" customWidth="1"/>
    <col min="4355" max="4355" width="17.6640625" bestFit="1" customWidth="1"/>
    <col min="4356" max="4356" width="7.6640625" bestFit="1" customWidth="1"/>
    <col min="4357" max="4357" width="18" bestFit="1" customWidth="1"/>
    <col min="4358" max="4358" width="15" bestFit="1" customWidth="1"/>
    <col min="4610" max="4610" width="37.6640625" bestFit="1" customWidth="1"/>
    <col min="4611" max="4611" width="17.6640625" bestFit="1" customWidth="1"/>
    <col min="4612" max="4612" width="7.6640625" bestFit="1" customWidth="1"/>
    <col min="4613" max="4613" width="18" bestFit="1" customWidth="1"/>
    <col min="4614" max="4614" width="15" bestFit="1" customWidth="1"/>
    <col min="4866" max="4866" width="37.6640625" bestFit="1" customWidth="1"/>
    <col min="4867" max="4867" width="17.6640625" bestFit="1" customWidth="1"/>
    <col min="4868" max="4868" width="7.6640625" bestFit="1" customWidth="1"/>
    <col min="4869" max="4869" width="18" bestFit="1" customWidth="1"/>
    <col min="4870" max="4870" width="15" bestFit="1" customWidth="1"/>
    <col min="5122" max="5122" width="37.6640625" bestFit="1" customWidth="1"/>
    <col min="5123" max="5123" width="17.6640625" bestFit="1" customWidth="1"/>
    <col min="5124" max="5124" width="7.6640625" bestFit="1" customWidth="1"/>
    <col min="5125" max="5125" width="18" bestFit="1" customWidth="1"/>
    <col min="5126" max="5126" width="15" bestFit="1" customWidth="1"/>
    <col min="5378" max="5378" width="37.6640625" bestFit="1" customWidth="1"/>
    <col min="5379" max="5379" width="17.6640625" bestFit="1" customWidth="1"/>
    <col min="5380" max="5380" width="7.6640625" bestFit="1" customWidth="1"/>
    <col min="5381" max="5381" width="18" bestFit="1" customWidth="1"/>
    <col min="5382" max="5382" width="15" bestFit="1" customWidth="1"/>
    <col min="5634" max="5634" width="37.6640625" bestFit="1" customWidth="1"/>
    <col min="5635" max="5635" width="17.6640625" bestFit="1" customWidth="1"/>
    <col min="5636" max="5636" width="7.6640625" bestFit="1" customWidth="1"/>
    <col min="5637" max="5637" width="18" bestFit="1" customWidth="1"/>
    <col min="5638" max="5638" width="15" bestFit="1" customWidth="1"/>
    <col min="5890" max="5890" width="37.6640625" bestFit="1" customWidth="1"/>
    <col min="5891" max="5891" width="17.6640625" bestFit="1" customWidth="1"/>
    <col min="5892" max="5892" width="7.6640625" bestFit="1" customWidth="1"/>
    <col min="5893" max="5893" width="18" bestFit="1" customWidth="1"/>
    <col min="5894" max="5894" width="15" bestFit="1" customWidth="1"/>
    <col min="6146" max="6146" width="37.6640625" bestFit="1" customWidth="1"/>
    <col min="6147" max="6147" width="17.6640625" bestFit="1" customWidth="1"/>
    <col min="6148" max="6148" width="7.6640625" bestFit="1" customWidth="1"/>
    <col min="6149" max="6149" width="18" bestFit="1" customWidth="1"/>
    <col min="6150" max="6150" width="15" bestFit="1" customWidth="1"/>
    <col min="6402" max="6402" width="37.6640625" bestFit="1" customWidth="1"/>
    <col min="6403" max="6403" width="17.6640625" bestFit="1" customWidth="1"/>
    <col min="6404" max="6404" width="7.6640625" bestFit="1" customWidth="1"/>
    <col min="6405" max="6405" width="18" bestFit="1" customWidth="1"/>
    <col min="6406" max="6406" width="15" bestFit="1" customWidth="1"/>
    <col min="6658" max="6658" width="37.6640625" bestFit="1" customWidth="1"/>
    <col min="6659" max="6659" width="17.6640625" bestFit="1" customWidth="1"/>
    <col min="6660" max="6660" width="7.6640625" bestFit="1" customWidth="1"/>
    <col min="6661" max="6661" width="18" bestFit="1" customWidth="1"/>
    <col min="6662" max="6662" width="15" bestFit="1" customWidth="1"/>
    <col min="6914" max="6914" width="37.6640625" bestFit="1" customWidth="1"/>
    <col min="6915" max="6915" width="17.6640625" bestFit="1" customWidth="1"/>
    <col min="6916" max="6916" width="7.6640625" bestFit="1" customWidth="1"/>
    <col min="6917" max="6917" width="18" bestFit="1" customWidth="1"/>
    <col min="6918" max="6918" width="15" bestFit="1" customWidth="1"/>
    <col min="7170" max="7170" width="37.6640625" bestFit="1" customWidth="1"/>
    <col min="7171" max="7171" width="17.6640625" bestFit="1" customWidth="1"/>
    <col min="7172" max="7172" width="7.6640625" bestFit="1" customWidth="1"/>
    <col min="7173" max="7173" width="18" bestFit="1" customWidth="1"/>
    <col min="7174" max="7174" width="15" bestFit="1" customWidth="1"/>
    <col min="7426" max="7426" width="37.6640625" bestFit="1" customWidth="1"/>
    <col min="7427" max="7427" width="17.6640625" bestFit="1" customWidth="1"/>
    <col min="7428" max="7428" width="7.6640625" bestFit="1" customWidth="1"/>
    <col min="7429" max="7429" width="18" bestFit="1" customWidth="1"/>
    <col min="7430" max="7430" width="15" bestFit="1" customWidth="1"/>
    <col min="7682" max="7682" width="37.6640625" bestFit="1" customWidth="1"/>
    <col min="7683" max="7683" width="17.6640625" bestFit="1" customWidth="1"/>
    <col min="7684" max="7684" width="7.6640625" bestFit="1" customWidth="1"/>
    <col min="7685" max="7685" width="18" bestFit="1" customWidth="1"/>
    <col min="7686" max="7686" width="15" bestFit="1" customWidth="1"/>
    <col min="7938" max="7938" width="37.6640625" bestFit="1" customWidth="1"/>
    <col min="7939" max="7939" width="17.6640625" bestFit="1" customWidth="1"/>
    <col min="7940" max="7940" width="7.6640625" bestFit="1" customWidth="1"/>
    <col min="7941" max="7941" width="18" bestFit="1" customWidth="1"/>
    <col min="7942" max="7942" width="15" bestFit="1" customWidth="1"/>
    <col min="8194" max="8194" width="37.6640625" bestFit="1" customWidth="1"/>
    <col min="8195" max="8195" width="17.6640625" bestFit="1" customWidth="1"/>
    <col min="8196" max="8196" width="7.6640625" bestFit="1" customWidth="1"/>
    <col min="8197" max="8197" width="18" bestFit="1" customWidth="1"/>
    <col min="8198" max="8198" width="15" bestFit="1" customWidth="1"/>
    <col min="8450" max="8450" width="37.6640625" bestFit="1" customWidth="1"/>
    <col min="8451" max="8451" width="17.6640625" bestFit="1" customWidth="1"/>
    <col min="8452" max="8452" width="7.6640625" bestFit="1" customWidth="1"/>
    <col min="8453" max="8453" width="18" bestFit="1" customWidth="1"/>
    <col min="8454" max="8454" width="15" bestFit="1" customWidth="1"/>
    <col min="8706" max="8706" width="37.6640625" bestFit="1" customWidth="1"/>
    <col min="8707" max="8707" width="17.6640625" bestFit="1" customWidth="1"/>
    <col min="8708" max="8708" width="7.6640625" bestFit="1" customWidth="1"/>
    <col min="8709" max="8709" width="18" bestFit="1" customWidth="1"/>
    <col min="8710" max="8710" width="15" bestFit="1" customWidth="1"/>
    <col min="8962" max="8962" width="37.6640625" bestFit="1" customWidth="1"/>
    <col min="8963" max="8963" width="17.6640625" bestFit="1" customWidth="1"/>
    <col min="8964" max="8964" width="7.6640625" bestFit="1" customWidth="1"/>
    <col min="8965" max="8965" width="18" bestFit="1" customWidth="1"/>
    <col min="8966" max="8966" width="15" bestFit="1" customWidth="1"/>
    <col min="9218" max="9218" width="37.6640625" bestFit="1" customWidth="1"/>
    <col min="9219" max="9219" width="17.6640625" bestFit="1" customWidth="1"/>
    <col min="9220" max="9220" width="7.6640625" bestFit="1" customWidth="1"/>
    <col min="9221" max="9221" width="18" bestFit="1" customWidth="1"/>
    <col min="9222" max="9222" width="15" bestFit="1" customWidth="1"/>
    <col min="9474" max="9474" width="37.6640625" bestFit="1" customWidth="1"/>
    <col min="9475" max="9475" width="17.6640625" bestFit="1" customWidth="1"/>
    <col min="9476" max="9476" width="7.6640625" bestFit="1" customWidth="1"/>
    <col min="9477" max="9477" width="18" bestFit="1" customWidth="1"/>
    <col min="9478" max="9478" width="15" bestFit="1" customWidth="1"/>
    <col min="9730" max="9730" width="37.6640625" bestFit="1" customWidth="1"/>
    <col min="9731" max="9731" width="17.6640625" bestFit="1" customWidth="1"/>
    <col min="9732" max="9732" width="7.6640625" bestFit="1" customWidth="1"/>
    <col min="9733" max="9733" width="18" bestFit="1" customWidth="1"/>
    <col min="9734" max="9734" width="15" bestFit="1" customWidth="1"/>
    <col min="9986" max="9986" width="37.6640625" bestFit="1" customWidth="1"/>
    <col min="9987" max="9987" width="17.6640625" bestFit="1" customWidth="1"/>
    <col min="9988" max="9988" width="7.6640625" bestFit="1" customWidth="1"/>
    <col min="9989" max="9989" width="18" bestFit="1" customWidth="1"/>
    <col min="9990" max="9990" width="15" bestFit="1" customWidth="1"/>
    <col min="10242" max="10242" width="37.6640625" bestFit="1" customWidth="1"/>
    <col min="10243" max="10243" width="17.6640625" bestFit="1" customWidth="1"/>
    <col min="10244" max="10244" width="7.6640625" bestFit="1" customWidth="1"/>
    <col min="10245" max="10245" width="18" bestFit="1" customWidth="1"/>
    <col min="10246" max="10246" width="15" bestFit="1" customWidth="1"/>
    <col min="10498" max="10498" width="37.6640625" bestFit="1" customWidth="1"/>
    <col min="10499" max="10499" width="17.6640625" bestFit="1" customWidth="1"/>
    <col min="10500" max="10500" width="7.6640625" bestFit="1" customWidth="1"/>
    <col min="10501" max="10501" width="18" bestFit="1" customWidth="1"/>
    <col min="10502" max="10502" width="15" bestFit="1" customWidth="1"/>
    <col min="10754" max="10754" width="37.6640625" bestFit="1" customWidth="1"/>
    <col min="10755" max="10755" width="17.6640625" bestFit="1" customWidth="1"/>
    <col min="10756" max="10756" width="7.6640625" bestFit="1" customWidth="1"/>
    <col min="10757" max="10757" width="18" bestFit="1" customWidth="1"/>
    <col min="10758" max="10758" width="15" bestFit="1" customWidth="1"/>
    <col min="11010" max="11010" width="37.6640625" bestFit="1" customWidth="1"/>
    <col min="11011" max="11011" width="17.6640625" bestFit="1" customWidth="1"/>
    <col min="11012" max="11012" width="7.6640625" bestFit="1" customWidth="1"/>
    <col min="11013" max="11013" width="18" bestFit="1" customWidth="1"/>
    <col min="11014" max="11014" width="15" bestFit="1" customWidth="1"/>
    <col min="11266" max="11266" width="37.6640625" bestFit="1" customWidth="1"/>
    <col min="11267" max="11267" width="17.6640625" bestFit="1" customWidth="1"/>
    <col min="11268" max="11268" width="7.6640625" bestFit="1" customWidth="1"/>
    <col min="11269" max="11269" width="18" bestFit="1" customWidth="1"/>
    <col min="11270" max="11270" width="15" bestFit="1" customWidth="1"/>
    <col min="11522" max="11522" width="37.6640625" bestFit="1" customWidth="1"/>
    <col min="11523" max="11523" width="17.6640625" bestFit="1" customWidth="1"/>
    <col min="11524" max="11524" width="7.6640625" bestFit="1" customWidth="1"/>
    <col min="11525" max="11525" width="18" bestFit="1" customWidth="1"/>
    <col min="11526" max="11526" width="15" bestFit="1" customWidth="1"/>
    <col min="11778" max="11778" width="37.6640625" bestFit="1" customWidth="1"/>
    <col min="11779" max="11779" width="17.6640625" bestFit="1" customWidth="1"/>
    <col min="11780" max="11780" width="7.6640625" bestFit="1" customWidth="1"/>
    <col min="11781" max="11781" width="18" bestFit="1" customWidth="1"/>
    <col min="11782" max="11782" width="15" bestFit="1" customWidth="1"/>
    <col min="12034" max="12034" width="37.6640625" bestFit="1" customWidth="1"/>
    <col min="12035" max="12035" width="17.6640625" bestFit="1" customWidth="1"/>
    <col min="12036" max="12036" width="7.6640625" bestFit="1" customWidth="1"/>
    <col min="12037" max="12037" width="18" bestFit="1" customWidth="1"/>
    <col min="12038" max="12038" width="15" bestFit="1" customWidth="1"/>
    <col min="12290" max="12290" width="37.6640625" bestFit="1" customWidth="1"/>
    <col min="12291" max="12291" width="17.6640625" bestFit="1" customWidth="1"/>
    <col min="12292" max="12292" width="7.6640625" bestFit="1" customWidth="1"/>
    <col min="12293" max="12293" width="18" bestFit="1" customWidth="1"/>
    <col min="12294" max="12294" width="15" bestFit="1" customWidth="1"/>
    <col min="12546" max="12546" width="37.6640625" bestFit="1" customWidth="1"/>
    <col min="12547" max="12547" width="17.6640625" bestFit="1" customWidth="1"/>
    <col min="12548" max="12548" width="7.6640625" bestFit="1" customWidth="1"/>
    <col min="12549" max="12549" width="18" bestFit="1" customWidth="1"/>
    <col min="12550" max="12550" width="15" bestFit="1" customWidth="1"/>
    <col min="12802" max="12802" width="37.6640625" bestFit="1" customWidth="1"/>
    <col min="12803" max="12803" width="17.6640625" bestFit="1" customWidth="1"/>
    <col min="12804" max="12804" width="7.6640625" bestFit="1" customWidth="1"/>
    <col min="12805" max="12805" width="18" bestFit="1" customWidth="1"/>
    <col min="12806" max="12806" width="15" bestFit="1" customWidth="1"/>
    <col min="13058" max="13058" width="37.6640625" bestFit="1" customWidth="1"/>
    <col min="13059" max="13059" width="17.6640625" bestFit="1" customWidth="1"/>
    <col min="13060" max="13060" width="7.6640625" bestFit="1" customWidth="1"/>
    <col min="13061" max="13061" width="18" bestFit="1" customWidth="1"/>
    <col min="13062" max="13062" width="15" bestFit="1" customWidth="1"/>
    <col min="13314" max="13314" width="37.6640625" bestFit="1" customWidth="1"/>
    <col min="13315" max="13315" width="17.6640625" bestFit="1" customWidth="1"/>
    <col min="13316" max="13316" width="7.6640625" bestFit="1" customWidth="1"/>
    <col min="13317" max="13317" width="18" bestFit="1" customWidth="1"/>
    <col min="13318" max="13318" width="15" bestFit="1" customWidth="1"/>
    <col min="13570" max="13570" width="37.6640625" bestFit="1" customWidth="1"/>
    <col min="13571" max="13571" width="17.6640625" bestFit="1" customWidth="1"/>
    <col min="13572" max="13572" width="7.6640625" bestFit="1" customWidth="1"/>
    <col min="13573" max="13573" width="18" bestFit="1" customWidth="1"/>
    <col min="13574" max="13574" width="15" bestFit="1" customWidth="1"/>
    <col min="13826" max="13826" width="37.6640625" bestFit="1" customWidth="1"/>
    <col min="13827" max="13827" width="17.6640625" bestFit="1" customWidth="1"/>
    <col min="13828" max="13828" width="7.6640625" bestFit="1" customWidth="1"/>
    <col min="13829" max="13829" width="18" bestFit="1" customWidth="1"/>
    <col min="13830" max="13830" width="15" bestFit="1" customWidth="1"/>
    <col min="14082" max="14082" width="37.6640625" bestFit="1" customWidth="1"/>
    <col min="14083" max="14083" width="17.6640625" bestFit="1" customWidth="1"/>
    <col min="14084" max="14084" width="7.6640625" bestFit="1" customWidth="1"/>
    <col min="14085" max="14085" width="18" bestFit="1" customWidth="1"/>
    <col min="14086" max="14086" width="15" bestFit="1" customWidth="1"/>
    <col min="14338" max="14338" width="37.6640625" bestFit="1" customWidth="1"/>
    <col min="14339" max="14339" width="17.6640625" bestFit="1" customWidth="1"/>
    <col min="14340" max="14340" width="7.6640625" bestFit="1" customWidth="1"/>
    <col min="14341" max="14341" width="18" bestFit="1" customWidth="1"/>
    <col min="14342" max="14342" width="15" bestFit="1" customWidth="1"/>
    <col min="14594" max="14594" width="37.6640625" bestFit="1" customWidth="1"/>
    <col min="14595" max="14595" width="17.6640625" bestFit="1" customWidth="1"/>
    <col min="14596" max="14596" width="7.6640625" bestFit="1" customWidth="1"/>
    <col min="14597" max="14597" width="18" bestFit="1" customWidth="1"/>
    <col min="14598" max="14598" width="15" bestFit="1" customWidth="1"/>
    <col min="14850" max="14850" width="37.6640625" bestFit="1" customWidth="1"/>
    <col min="14851" max="14851" width="17.6640625" bestFit="1" customWidth="1"/>
    <col min="14852" max="14852" width="7.6640625" bestFit="1" customWidth="1"/>
    <col min="14853" max="14853" width="18" bestFit="1" customWidth="1"/>
    <col min="14854" max="14854" width="15" bestFit="1" customWidth="1"/>
    <col min="15106" max="15106" width="37.6640625" bestFit="1" customWidth="1"/>
    <col min="15107" max="15107" width="17.6640625" bestFit="1" customWidth="1"/>
    <col min="15108" max="15108" width="7.6640625" bestFit="1" customWidth="1"/>
    <col min="15109" max="15109" width="18" bestFit="1" customWidth="1"/>
    <col min="15110" max="15110" width="15" bestFit="1" customWidth="1"/>
    <col min="15362" max="15362" width="37.6640625" bestFit="1" customWidth="1"/>
    <col min="15363" max="15363" width="17.6640625" bestFit="1" customWidth="1"/>
    <col min="15364" max="15364" width="7.6640625" bestFit="1" customWidth="1"/>
    <col min="15365" max="15365" width="18" bestFit="1" customWidth="1"/>
    <col min="15366" max="15366" width="15" bestFit="1" customWidth="1"/>
    <col min="15618" max="15618" width="37.6640625" bestFit="1" customWidth="1"/>
    <col min="15619" max="15619" width="17.6640625" bestFit="1" customWidth="1"/>
    <col min="15620" max="15620" width="7.6640625" bestFit="1" customWidth="1"/>
    <col min="15621" max="15621" width="18" bestFit="1" customWidth="1"/>
    <col min="15622" max="15622" width="15" bestFit="1" customWidth="1"/>
    <col min="15874" max="15874" width="37.6640625" bestFit="1" customWidth="1"/>
    <col min="15875" max="15875" width="17.6640625" bestFit="1" customWidth="1"/>
    <col min="15876" max="15876" width="7.6640625" bestFit="1" customWidth="1"/>
    <col min="15877" max="15877" width="18" bestFit="1" customWidth="1"/>
    <col min="15878" max="15878" width="15" bestFit="1" customWidth="1"/>
    <col min="16130" max="16130" width="37.6640625" bestFit="1" customWidth="1"/>
    <col min="16131" max="16131" width="17.6640625" bestFit="1" customWidth="1"/>
    <col min="16132" max="16132" width="7.6640625" bestFit="1" customWidth="1"/>
    <col min="16133" max="16133" width="18" bestFit="1" customWidth="1"/>
    <col min="16134" max="16134" width="15" bestFit="1" customWidth="1"/>
  </cols>
  <sheetData>
    <row r="1" spans="1:6" x14ac:dyDescent="0.3">
      <c r="B1" t="s">
        <v>84</v>
      </c>
    </row>
    <row r="2" spans="1:6" ht="15" thickBot="1" x14ac:dyDescent="0.35"/>
    <row r="3" spans="1:6" ht="29.4" thickBot="1" x14ac:dyDescent="0.35">
      <c r="A3" s="783" t="s">
        <v>189</v>
      </c>
      <c r="B3" s="795" t="s">
        <v>85</v>
      </c>
      <c r="C3" s="796" t="s">
        <v>86</v>
      </c>
      <c r="D3" s="796" t="s">
        <v>87</v>
      </c>
      <c r="E3" s="796" t="s">
        <v>88</v>
      </c>
      <c r="F3" s="797" t="s">
        <v>2281</v>
      </c>
    </row>
    <row r="4" spans="1:6" ht="15" thickBot="1" x14ac:dyDescent="0.35">
      <c r="A4" s="783">
        <v>1</v>
      </c>
      <c r="B4" s="798" t="s">
        <v>89</v>
      </c>
      <c r="C4" s="17" t="s">
        <v>90</v>
      </c>
      <c r="D4" s="17" t="s">
        <v>91</v>
      </c>
      <c r="E4" s="27">
        <v>6100</v>
      </c>
      <c r="F4" s="799">
        <v>500</v>
      </c>
    </row>
    <row r="5" spans="1:6" ht="15" thickBot="1" x14ac:dyDescent="0.35">
      <c r="A5" s="783">
        <v>2</v>
      </c>
      <c r="B5" s="798" t="s">
        <v>92</v>
      </c>
      <c r="C5" s="17" t="s">
        <v>93</v>
      </c>
      <c r="D5" s="17" t="s">
        <v>94</v>
      </c>
      <c r="E5" s="27">
        <v>6710</v>
      </c>
      <c r="F5" s="799">
        <v>500</v>
      </c>
    </row>
    <row r="6" spans="1:6" ht="15" thickBot="1" x14ac:dyDescent="0.35">
      <c r="A6" s="783">
        <v>3</v>
      </c>
      <c r="B6" s="798" t="s">
        <v>95</v>
      </c>
      <c r="C6" s="17" t="s">
        <v>93</v>
      </c>
      <c r="D6" s="17" t="s">
        <v>94</v>
      </c>
      <c r="E6" s="27">
        <v>6710</v>
      </c>
      <c r="F6" s="799">
        <v>500</v>
      </c>
    </row>
    <row r="7" spans="1:6" ht="15" thickBot="1" x14ac:dyDescent="0.35">
      <c r="A7" s="783">
        <v>4</v>
      </c>
      <c r="B7" s="798" t="s">
        <v>96</v>
      </c>
      <c r="C7" s="17" t="s">
        <v>93</v>
      </c>
      <c r="D7" s="17" t="s">
        <v>97</v>
      </c>
      <c r="E7" s="27">
        <v>4880</v>
      </c>
      <c r="F7" s="799">
        <v>500</v>
      </c>
    </row>
    <row r="8" spans="1:6" ht="15" thickBot="1" x14ac:dyDescent="0.35">
      <c r="A8" s="783">
        <v>5</v>
      </c>
      <c r="B8" s="798" t="s">
        <v>98</v>
      </c>
      <c r="C8" s="17" t="s">
        <v>93</v>
      </c>
      <c r="D8" s="17" t="s">
        <v>99</v>
      </c>
      <c r="E8" s="27">
        <v>6710</v>
      </c>
      <c r="F8" s="799">
        <v>500</v>
      </c>
    </row>
    <row r="9" spans="1:6" ht="15" thickBot="1" x14ac:dyDescent="0.35">
      <c r="A9" s="783">
        <v>6</v>
      </c>
      <c r="B9" s="798" t="s">
        <v>100</v>
      </c>
      <c r="C9" s="17" t="s">
        <v>93</v>
      </c>
      <c r="D9" s="17" t="s">
        <v>101</v>
      </c>
      <c r="E9" s="27">
        <v>8540</v>
      </c>
      <c r="F9" s="799">
        <v>500</v>
      </c>
    </row>
    <row r="10" spans="1:6" ht="15" thickBot="1" x14ac:dyDescent="0.35">
      <c r="A10" s="783">
        <v>7</v>
      </c>
      <c r="B10" s="798" t="s">
        <v>102</v>
      </c>
      <c r="C10" s="17" t="s">
        <v>93</v>
      </c>
      <c r="D10" s="17" t="s">
        <v>101</v>
      </c>
      <c r="E10" s="27">
        <v>6710</v>
      </c>
      <c r="F10" s="799">
        <v>500</v>
      </c>
    </row>
    <row r="11" spans="1:6" ht="15" thickBot="1" x14ac:dyDescent="0.35">
      <c r="A11" s="783">
        <v>8</v>
      </c>
      <c r="B11" s="798" t="s">
        <v>103</v>
      </c>
      <c r="C11" s="17" t="s">
        <v>93</v>
      </c>
      <c r="D11" s="17" t="s">
        <v>104</v>
      </c>
      <c r="E11" s="27">
        <v>6710</v>
      </c>
      <c r="F11" s="799">
        <v>500</v>
      </c>
    </row>
    <row r="12" spans="1:6" ht="15" thickBot="1" x14ac:dyDescent="0.35">
      <c r="A12" s="783">
        <v>9</v>
      </c>
      <c r="B12" s="798" t="s">
        <v>105</v>
      </c>
      <c r="C12" s="17" t="s">
        <v>93</v>
      </c>
      <c r="D12" s="17" t="s">
        <v>106</v>
      </c>
      <c r="E12" s="27">
        <v>6710</v>
      </c>
      <c r="F12" s="799">
        <v>500</v>
      </c>
    </row>
    <row r="13" spans="1:6" ht="15" thickBot="1" x14ac:dyDescent="0.35">
      <c r="A13" s="783">
        <v>10</v>
      </c>
      <c r="B13" s="798" t="s">
        <v>107</v>
      </c>
      <c r="C13" s="17" t="s">
        <v>108</v>
      </c>
      <c r="D13" s="17" t="s">
        <v>109</v>
      </c>
      <c r="E13" s="27">
        <v>6710</v>
      </c>
      <c r="F13" s="799">
        <v>500</v>
      </c>
    </row>
    <row r="14" spans="1:6" ht="15" thickBot="1" x14ac:dyDescent="0.35">
      <c r="A14" s="783">
        <v>11</v>
      </c>
      <c r="B14" s="798" t="s">
        <v>110</v>
      </c>
      <c r="C14" s="17" t="s">
        <v>108</v>
      </c>
      <c r="D14" s="17" t="s">
        <v>111</v>
      </c>
      <c r="E14" s="27">
        <v>6710</v>
      </c>
      <c r="F14" s="799">
        <v>500</v>
      </c>
    </row>
    <row r="15" spans="1:6" ht="15" thickBot="1" x14ac:dyDescent="0.35">
      <c r="A15" s="783">
        <v>12</v>
      </c>
      <c r="B15" s="798" t="s">
        <v>112</v>
      </c>
      <c r="C15" s="17" t="s">
        <v>113</v>
      </c>
      <c r="D15" s="17" t="s">
        <v>114</v>
      </c>
      <c r="E15" s="27">
        <v>3050</v>
      </c>
      <c r="F15" s="799">
        <v>500</v>
      </c>
    </row>
    <row r="16" spans="1:6" ht="15" thickBot="1" x14ac:dyDescent="0.35">
      <c r="A16" s="783">
        <v>13</v>
      </c>
      <c r="B16" s="798" t="s">
        <v>115</v>
      </c>
      <c r="C16" s="17" t="s">
        <v>113</v>
      </c>
      <c r="D16" s="17" t="s">
        <v>116</v>
      </c>
      <c r="E16" s="27">
        <v>3050</v>
      </c>
      <c r="F16" s="799">
        <v>500</v>
      </c>
    </row>
    <row r="17" spans="1:6" ht="15" thickBot="1" x14ac:dyDescent="0.35">
      <c r="A17" s="783">
        <v>14</v>
      </c>
      <c r="B17" s="798" t="s">
        <v>117</v>
      </c>
      <c r="C17" s="17" t="s">
        <v>113</v>
      </c>
      <c r="D17" s="17" t="s">
        <v>118</v>
      </c>
      <c r="E17" s="27">
        <v>5490</v>
      </c>
      <c r="F17" s="799">
        <v>500</v>
      </c>
    </row>
    <row r="18" spans="1:6" ht="15" thickBot="1" x14ac:dyDescent="0.35">
      <c r="A18" s="783">
        <v>15</v>
      </c>
      <c r="B18" s="503" t="s">
        <v>2282</v>
      </c>
      <c r="C18" s="504" t="s">
        <v>2283</v>
      </c>
      <c r="D18" s="800">
        <v>5426</v>
      </c>
      <c r="E18" s="801">
        <v>4800</v>
      </c>
      <c r="F18" s="802">
        <v>500</v>
      </c>
    </row>
    <row r="19" spans="1:6" x14ac:dyDescent="0.3">
      <c r="E19" s="28">
        <f>SUM(E4:E18)</f>
        <v>89590</v>
      </c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41C57-4C53-4A34-925A-E9B9D13E62A4}">
  <sheetPr>
    <pageSetUpPr fitToPage="1"/>
  </sheetPr>
  <dimension ref="A1:N18"/>
  <sheetViews>
    <sheetView zoomScale="85" zoomScaleNormal="85" workbookViewId="0">
      <selection activeCell="A9" sqref="A9"/>
    </sheetView>
  </sheetViews>
  <sheetFormatPr defaultRowHeight="14.4" x14ac:dyDescent="0.3"/>
  <cols>
    <col min="1" max="1" width="6.109375" customWidth="1"/>
    <col min="2" max="2" width="28.109375" customWidth="1"/>
    <col min="3" max="3" width="13.88671875" customWidth="1"/>
    <col min="4" max="4" width="15.5546875" customWidth="1"/>
    <col min="5" max="5" width="14.5546875" customWidth="1"/>
    <col min="6" max="6" width="16.5546875" customWidth="1"/>
    <col min="7" max="7" width="14.5546875" customWidth="1"/>
    <col min="8" max="8" width="13.44140625" customWidth="1"/>
    <col min="9" max="9" width="13.5546875" customWidth="1"/>
    <col min="10" max="10" width="12.88671875" customWidth="1"/>
    <col min="11" max="12" width="13.5546875" customWidth="1"/>
    <col min="13" max="13" width="13.44140625" bestFit="1" customWidth="1"/>
    <col min="27" max="27" width="9.5546875" bestFit="1" customWidth="1"/>
    <col min="257" max="257" width="6.109375" customWidth="1"/>
    <col min="258" max="258" width="28.109375" customWidth="1"/>
    <col min="259" max="259" width="13.88671875" customWidth="1"/>
    <col min="260" max="260" width="14.5546875" customWidth="1"/>
    <col min="261" max="261" width="15.5546875" customWidth="1"/>
    <col min="262" max="262" width="14.5546875" customWidth="1"/>
    <col min="263" max="263" width="16.5546875" customWidth="1"/>
    <col min="264" max="264" width="14.5546875" customWidth="1"/>
    <col min="265" max="265" width="11.5546875" customWidth="1"/>
    <col min="266" max="266" width="12.88671875" customWidth="1"/>
    <col min="267" max="268" width="13.5546875" customWidth="1"/>
    <col min="269" max="269" width="13.44140625" bestFit="1" customWidth="1"/>
    <col min="513" max="513" width="6.109375" customWidth="1"/>
    <col min="514" max="514" width="28.109375" customWidth="1"/>
    <col min="515" max="515" width="13.88671875" customWidth="1"/>
    <col min="516" max="516" width="14.5546875" customWidth="1"/>
    <col min="517" max="517" width="15.5546875" customWidth="1"/>
    <col min="518" max="518" width="14.5546875" customWidth="1"/>
    <col min="519" max="519" width="16.5546875" customWidth="1"/>
    <col min="520" max="520" width="14.5546875" customWidth="1"/>
    <col min="521" max="521" width="11.5546875" customWidth="1"/>
    <col min="522" max="522" width="12.88671875" customWidth="1"/>
    <col min="523" max="524" width="13.5546875" customWidth="1"/>
    <col min="525" max="525" width="13.44140625" bestFit="1" customWidth="1"/>
    <col min="769" max="769" width="6.109375" customWidth="1"/>
    <col min="770" max="770" width="28.109375" customWidth="1"/>
    <col min="771" max="771" width="13.88671875" customWidth="1"/>
    <col min="772" max="772" width="14.5546875" customWidth="1"/>
    <col min="773" max="773" width="15.5546875" customWidth="1"/>
    <col min="774" max="774" width="14.5546875" customWidth="1"/>
    <col min="775" max="775" width="16.5546875" customWidth="1"/>
    <col min="776" max="776" width="14.5546875" customWidth="1"/>
    <col min="777" max="777" width="11.5546875" customWidth="1"/>
    <col min="778" max="778" width="12.88671875" customWidth="1"/>
    <col min="779" max="780" width="13.5546875" customWidth="1"/>
    <col min="781" max="781" width="13.44140625" bestFit="1" customWidth="1"/>
    <col min="1025" max="1025" width="6.109375" customWidth="1"/>
    <col min="1026" max="1026" width="28.109375" customWidth="1"/>
    <col min="1027" max="1027" width="13.88671875" customWidth="1"/>
    <col min="1028" max="1028" width="14.5546875" customWidth="1"/>
    <col min="1029" max="1029" width="15.5546875" customWidth="1"/>
    <col min="1030" max="1030" width="14.5546875" customWidth="1"/>
    <col min="1031" max="1031" width="16.5546875" customWidth="1"/>
    <col min="1032" max="1032" width="14.5546875" customWidth="1"/>
    <col min="1033" max="1033" width="11.5546875" customWidth="1"/>
    <col min="1034" max="1034" width="12.88671875" customWidth="1"/>
    <col min="1035" max="1036" width="13.5546875" customWidth="1"/>
    <col min="1037" max="1037" width="13.44140625" bestFit="1" customWidth="1"/>
    <col min="1281" max="1281" width="6.109375" customWidth="1"/>
    <col min="1282" max="1282" width="28.109375" customWidth="1"/>
    <col min="1283" max="1283" width="13.88671875" customWidth="1"/>
    <col min="1284" max="1284" width="14.5546875" customWidth="1"/>
    <col min="1285" max="1285" width="15.5546875" customWidth="1"/>
    <col min="1286" max="1286" width="14.5546875" customWidth="1"/>
    <col min="1287" max="1287" width="16.5546875" customWidth="1"/>
    <col min="1288" max="1288" width="14.5546875" customWidth="1"/>
    <col min="1289" max="1289" width="11.5546875" customWidth="1"/>
    <col min="1290" max="1290" width="12.88671875" customWidth="1"/>
    <col min="1291" max="1292" width="13.5546875" customWidth="1"/>
    <col min="1293" max="1293" width="13.44140625" bestFit="1" customWidth="1"/>
    <col min="1537" max="1537" width="6.109375" customWidth="1"/>
    <col min="1538" max="1538" width="28.109375" customWidth="1"/>
    <col min="1539" max="1539" width="13.88671875" customWidth="1"/>
    <col min="1540" max="1540" width="14.5546875" customWidth="1"/>
    <col min="1541" max="1541" width="15.5546875" customWidth="1"/>
    <col min="1542" max="1542" width="14.5546875" customWidth="1"/>
    <col min="1543" max="1543" width="16.5546875" customWidth="1"/>
    <col min="1544" max="1544" width="14.5546875" customWidth="1"/>
    <col min="1545" max="1545" width="11.5546875" customWidth="1"/>
    <col min="1546" max="1546" width="12.88671875" customWidth="1"/>
    <col min="1547" max="1548" width="13.5546875" customWidth="1"/>
    <col min="1549" max="1549" width="13.44140625" bestFit="1" customWidth="1"/>
    <col min="1793" max="1793" width="6.109375" customWidth="1"/>
    <col min="1794" max="1794" width="28.109375" customWidth="1"/>
    <col min="1795" max="1795" width="13.88671875" customWidth="1"/>
    <col min="1796" max="1796" width="14.5546875" customWidth="1"/>
    <col min="1797" max="1797" width="15.5546875" customWidth="1"/>
    <col min="1798" max="1798" width="14.5546875" customWidth="1"/>
    <col min="1799" max="1799" width="16.5546875" customWidth="1"/>
    <col min="1800" max="1800" width="14.5546875" customWidth="1"/>
    <col min="1801" max="1801" width="11.5546875" customWidth="1"/>
    <col min="1802" max="1802" width="12.88671875" customWidth="1"/>
    <col min="1803" max="1804" width="13.5546875" customWidth="1"/>
    <col min="1805" max="1805" width="13.44140625" bestFit="1" customWidth="1"/>
    <col min="2049" max="2049" width="6.109375" customWidth="1"/>
    <col min="2050" max="2050" width="28.109375" customWidth="1"/>
    <col min="2051" max="2051" width="13.88671875" customWidth="1"/>
    <col min="2052" max="2052" width="14.5546875" customWidth="1"/>
    <col min="2053" max="2053" width="15.5546875" customWidth="1"/>
    <col min="2054" max="2054" width="14.5546875" customWidth="1"/>
    <col min="2055" max="2055" width="16.5546875" customWidth="1"/>
    <col min="2056" max="2056" width="14.5546875" customWidth="1"/>
    <col min="2057" max="2057" width="11.5546875" customWidth="1"/>
    <col min="2058" max="2058" width="12.88671875" customWidth="1"/>
    <col min="2059" max="2060" width="13.5546875" customWidth="1"/>
    <col min="2061" max="2061" width="13.44140625" bestFit="1" customWidth="1"/>
    <col min="2305" max="2305" width="6.109375" customWidth="1"/>
    <col min="2306" max="2306" width="28.109375" customWidth="1"/>
    <col min="2307" max="2307" width="13.88671875" customWidth="1"/>
    <col min="2308" max="2308" width="14.5546875" customWidth="1"/>
    <col min="2309" max="2309" width="15.5546875" customWidth="1"/>
    <col min="2310" max="2310" width="14.5546875" customWidth="1"/>
    <col min="2311" max="2311" width="16.5546875" customWidth="1"/>
    <col min="2312" max="2312" width="14.5546875" customWidth="1"/>
    <col min="2313" max="2313" width="11.5546875" customWidth="1"/>
    <col min="2314" max="2314" width="12.88671875" customWidth="1"/>
    <col min="2315" max="2316" width="13.5546875" customWidth="1"/>
    <col min="2317" max="2317" width="13.44140625" bestFit="1" customWidth="1"/>
    <col min="2561" max="2561" width="6.109375" customWidth="1"/>
    <col min="2562" max="2562" width="28.109375" customWidth="1"/>
    <col min="2563" max="2563" width="13.88671875" customWidth="1"/>
    <col min="2564" max="2564" width="14.5546875" customWidth="1"/>
    <col min="2565" max="2565" width="15.5546875" customWidth="1"/>
    <col min="2566" max="2566" width="14.5546875" customWidth="1"/>
    <col min="2567" max="2567" width="16.5546875" customWidth="1"/>
    <col min="2568" max="2568" width="14.5546875" customWidth="1"/>
    <col min="2569" max="2569" width="11.5546875" customWidth="1"/>
    <col min="2570" max="2570" width="12.88671875" customWidth="1"/>
    <col min="2571" max="2572" width="13.5546875" customWidth="1"/>
    <col min="2573" max="2573" width="13.44140625" bestFit="1" customWidth="1"/>
    <col min="2817" max="2817" width="6.109375" customWidth="1"/>
    <col min="2818" max="2818" width="28.109375" customWidth="1"/>
    <col min="2819" max="2819" width="13.88671875" customWidth="1"/>
    <col min="2820" max="2820" width="14.5546875" customWidth="1"/>
    <col min="2821" max="2821" width="15.5546875" customWidth="1"/>
    <col min="2822" max="2822" width="14.5546875" customWidth="1"/>
    <col min="2823" max="2823" width="16.5546875" customWidth="1"/>
    <col min="2824" max="2824" width="14.5546875" customWidth="1"/>
    <col min="2825" max="2825" width="11.5546875" customWidth="1"/>
    <col min="2826" max="2826" width="12.88671875" customWidth="1"/>
    <col min="2827" max="2828" width="13.5546875" customWidth="1"/>
    <col min="2829" max="2829" width="13.44140625" bestFit="1" customWidth="1"/>
    <col min="3073" max="3073" width="6.109375" customWidth="1"/>
    <col min="3074" max="3074" width="28.109375" customWidth="1"/>
    <col min="3075" max="3075" width="13.88671875" customWidth="1"/>
    <col min="3076" max="3076" width="14.5546875" customWidth="1"/>
    <col min="3077" max="3077" width="15.5546875" customWidth="1"/>
    <col min="3078" max="3078" width="14.5546875" customWidth="1"/>
    <col min="3079" max="3079" width="16.5546875" customWidth="1"/>
    <col min="3080" max="3080" width="14.5546875" customWidth="1"/>
    <col min="3081" max="3081" width="11.5546875" customWidth="1"/>
    <col min="3082" max="3082" width="12.88671875" customWidth="1"/>
    <col min="3083" max="3084" width="13.5546875" customWidth="1"/>
    <col min="3085" max="3085" width="13.44140625" bestFit="1" customWidth="1"/>
    <col min="3329" max="3329" width="6.109375" customWidth="1"/>
    <col min="3330" max="3330" width="28.109375" customWidth="1"/>
    <col min="3331" max="3331" width="13.88671875" customWidth="1"/>
    <col min="3332" max="3332" width="14.5546875" customWidth="1"/>
    <col min="3333" max="3333" width="15.5546875" customWidth="1"/>
    <col min="3334" max="3334" width="14.5546875" customWidth="1"/>
    <col min="3335" max="3335" width="16.5546875" customWidth="1"/>
    <col min="3336" max="3336" width="14.5546875" customWidth="1"/>
    <col min="3337" max="3337" width="11.5546875" customWidth="1"/>
    <col min="3338" max="3338" width="12.88671875" customWidth="1"/>
    <col min="3339" max="3340" width="13.5546875" customWidth="1"/>
    <col min="3341" max="3341" width="13.44140625" bestFit="1" customWidth="1"/>
    <col min="3585" max="3585" width="6.109375" customWidth="1"/>
    <col min="3586" max="3586" width="28.109375" customWidth="1"/>
    <col min="3587" max="3587" width="13.88671875" customWidth="1"/>
    <col min="3588" max="3588" width="14.5546875" customWidth="1"/>
    <col min="3589" max="3589" width="15.5546875" customWidth="1"/>
    <col min="3590" max="3590" width="14.5546875" customWidth="1"/>
    <col min="3591" max="3591" width="16.5546875" customWidth="1"/>
    <col min="3592" max="3592" width="14.5546875" customWidth="1"/>
    <col min="3593" max="3593" width="11.5546875" customWidth="1"/>
    <col min="3594" max="3594" width="12.88671875" customWidth="1"/>
    <col min="3595" max="3596" width="13.5546875" customWidth="1"/>
    <col min="3597" max="3597" width="13.44140625" bestFit="1" customWidth="1"/>
    <col min="3841" max="3841" width="6.109375" customWidth="1"/>
    <col min="3842" max="3842" width="28.109375" customWidth="1"/>
    <col min="3843" max="3843" width="13.88671875" customWidth="1"/>
    <col min="3844" max="3844" width="14.5546875" customWidth="1"/>
    <col min="3845" max="3845" width="15.5546875" customWidth="1"/>
    <col min="3846" max="3846" width="14.5546875" customWidth="1"/>
    <col min="3847" max="3847" width="16.5546875" customWidth="1"/>
    <col min="3848" max="3848" width="14.5546875" customWidth="1"/>
    <col min="3849" max="3849" width="11.5546875" customWidth="1"/>
    <col min="3850" max="3850" width="12.88671875" customWidth="1"/>
    <col min="3851" max="3852" width="13.5546875" customWidth="1"/>
    <col min="3853" max="3853" width="13.44140625" bestFit="1" customWidth="1"/>
    <col min="4097" max="4097" width="6.109375" customWidth="1"/>
    <col min="4098" max="4098" width="28.109375" customWidth="1"/>
    <col min="4099" max="4099" width="13.88671875" customWidth="1"/>
    <col min="4100" max="4100" width="14.5546875" customWidth="1"/>
    <col min="4101" max="4101" width="15.5546875" customWidth="1"/>
    <col min="4102" max="4102" width="14.5546875" customWidth="1"/>
    <col min="4103" max="4103" width="16.5546875" customWidth="1"/>
    <col min="4104" max="4104" width="14.5546875" customWidth="1"/>
    <col min="4105" max="4105" width="11.5546875" customWidth="1"/>
    <col min="4106" max="4106" width="12.88671875" customWidth="1"/>
    <col min="4107" max="4108" width="13.5546875" customWidth="1"/>
    <col min="4109" max="4109" width="13.44140625" bestFit="1" customWidth="1"/>
    <col min="4353" max="4353" width="6.109375" customWidth="1"/>
    <col min="4354" max="4354" width="28.109375" customWidth="1"/>
    <col min="4355" max="4355" width="13.88671875" customWidth="1"/>
    <col min="4356" max="4356" width="14.5546875" customWidth="1"/>
    <col min="4357" max="4357" width="15.5546875" customWidth="1"/>
    <col min="4358" max="4358" width="14.5546875" customWidth="1"/>
    <col min="4359" max="4359" width="16.5546875" customWidth="1"/>
    <col min="4360" max="4360" width="14.5546875" customWidth="1"/>
    <col min="4361" max="4361" width="11.5546875" customWidth="1"/>
    <col min="4362" max="4362" width="12.88671875" customWidth="1"/>
    <col min="4363" max="4364" width="13.5546875" customWidth="1"/>
    <col min="4365" max="4365" width="13.44140625" bestFit="1" customWidth="1"/>
    <col min="4609" max="4609" width="6.109375" customWidth="1"/>
    <col min="4610" max="4610" width="28.109375" customWidth="1"/>
    <col min="4611" max="4611" width="13.88671875" customWidth="1"/>
    <col min="4612" max="4612" width="14.5546875" customWidth="1"/>
    <col min="4613" max="4613" width="15.5546875" customWidth="1"/>
    <col min="4614" max="4614" width="14.5546875" customWidth="1"/>
    <col min="4615" max="4615" width="16.5546875" customWidth="1"/>
    <col min="4616" max="4616" width="14.5546875" customWidth="1"/>
    <col min="4617" max="4617" width="11.5546875" customWidth="1"/>
    <col min="4618" max="4618" width="12.88671875" customWidth="1"/>
    <col min="4619" max="4620" width="13.5546875" customWidth="1"/>
    <col min="4621" max="4621" width="13.44140625" bestFit="1" customWidth="1"/>
    <col min="4865" max="4865" width="6.109375" customWidth="1"/>
    <col min="4866" max="4866" width="28.109375" customWidth="1"/>
    <col min="4867" max="4867" width="13.88671875" customWidth="1"/>
    <col min="4868" max="4868" width="14.5546875" customWidth="1"/>
    <col min="4869" max="4869" width="15.5546875" customWidth="1"/>
    <col min="4870" max="4870" width="14.5546875" customWidth="1"/>
    <col min="4871" max="4871" width="16.5546875" customWidth="1"/>
    <col min="4872" max="4872" width="14.5546875" customWidth="1"/>
    <col min="4873" max="4873" width="11.5546875" customWidth="1"/>
    <col min="4874" max="4874" width="12.88671875" customWidth="1"/>
    <col min="4875" max="4876" width="13.5546875" customWidth="1"/>
    <col min="4877" max="4877" width="13.44140625" bestFit="1" customWidth="1"/>
    <col min="5121" max="5121" width="6.109375" customWidth="1"/>
    <col min="5122" max="5122" width="28.109375" customWidth="1"/>
    <col min="5123" max="5123" width="13.88671875" customWidth="1"/>
    <col min="5124" max="5124" width="14.5546875" customWidth="1"/>
    <col min="5125" max="5125" width="15.5546875" customWidth="1"/>
    <col min="5126" max="5126" width="14.5546875" customWidth="1"/>
    <col min="5127" max="5127" width="16.5546875" customWidth="1"/>
    <col min="5128" max="5128" width="14.5546875" customWidth="1"/>
    <col min="5129" max="5129" width="11.5546875" customWidth="1"/>
    <col min="5130" max="5130" width="12.88671875" customWidth="1"/>
    <col min="5131" max="5132" width="13.5546875" customWidth="1"/>
    <col min="5133" max="5133" width="13.44140625" bestFit="1" customWidth="1"/>
    <col min="5377" max="5377" width="6.109375" customWidth="1"/>
    <col min="5378" max="5378" width="28.109375" customWidth="1"/>
    <col min="5379" max="5379" width="13.88671875" customWidth="1"/>
    <col min="5380" max="5380" width="14.5546875" customWidth="1"/>
    <col min="5381" max="5381" width="15.5546875" customWidth="1"/>
    <col min="5382" max="5382" width="14.5546875" customWidth="1"/>
    <col min="5383" max="5383" width="16.5546875" customWidth="1"/>
    <col min="5384" max="5384" width="14.5546875" customWidth="1"/>
    <col min="5385" max="5385" width="11.5546875" customWidth="1"/>
    <col min="5386" max="5386" width="12.88671875" customWidth="1"/>
    <col min="5387" max="5388" width="13.5546875" customWidth="1"/>
    <col min="5389" max="5389" width="13.44140625" bestFit="1" customWidth="1"/>
    <col min="5633" max="5633" width="6.109375" customWidth="1"/>
    <col min="5634" max="5634" width="28.109375" customWidth="1"/>
    <col min="5635" max="5635" width="13.88671875" customWidth="1"/>
    <col min="5636" max="5636" width="14.5546875" customWidth="1"/>
    <col min="5637" max="5637" width="15.5546875" customWidth="1"/>
    <col min="5638" max="5638" width="14.5546875" customWidth="1"/>
    <col min="5639" max="5639" width="16.5546875" customWidth="1"/>
    <col min="5640" max="5640" width="14.5546875" customWidth="1"/>
    <col min="5641" max="5641" width="11.5546875" customWidth="1"/>
    <col min="5642" max="5642" width="12.88671875" customWidth="1"/>
    <col min="5643" max="5644" width="13.5546875" customWidth="1"/>
    <col min="5645" max="5645" width="13.44140625" bestFit="1" customWidth="1"/>
    <col min="5889" max="5889" width="6.109375" customWidth="1"/>
    <col min="5890" max="5890" width="28.109375" customWidth="1"/>
    <col min="5891" max="5891" width="13.88671875" customWidth="1"/>
    <col min="5892" max="5892" width="14.5546875" customWidth="1"/>
    <col min="5893" max="5893" width="15.5546875" customWidth="1"/>
    <col min="5894" max="5894" width="14.5546875" customWidth="1"/>
    <col min="5895" max="5895" width="16.5546875" customWidth="1"/>
    <col min="5896" max="5896" width="14.5546875" customWidth="1"/>
    <col min="5897" max="5897" width="11.5546875" customWidth="1"/>
    <col min="5898" max="5898" width="12.88671875" customWidth="1"/>
    <col min="5899" max="5900" width="13.5546875" customWidth="1"/>
    <col min="5901" max="5901" width="13.44140625" bestFit="1" customWidth="1"/>
    <col min="6145" max="6145" width="6.109375" customWidth="1"/>
    <col min="6146" max="6146" width="28.109375" customWidth="1"/>
    <col min="6147" max="6147" width="13.88671875" customWidth="1"/>
    <col min="6148" max="6148" width="14.5546875" customWidth="1"/>
    <col min="6149" max="6149" width="15.5546875" customWidth="1"/>
    <col min="6150" max="6150" width="14.5546875" customWidth="1"/>
    <col min="6151" max="6151" width="16.5546875" customWidth="1"/>
    <col min="6152" max="6152" width="14.5546875" customWidth="1"/>
    <col min="6153" max="6153" width="11.5546875" customWidth="1"/>
    <col min="6154" max="6154" width="12.88671875" customWidth="1"/>
    <col min="6155" max="6156" width="13.5546875" customWidth="1"/>
    <col min="6157" max="6157" width="13.44140625" bestFit="1" customWidth="1"/>
    <col min="6401" max="6401" width="6.109375" customWidth="1"/>
    <col min="6402" max="6402" width="28.109375" customWidth="1"/>
    <col min="6403" max="6403" width="13.88671875" customWidth="1"/>
    <col min="6404" max="6404" width="14.5546875" customWidth="1"/>
    <col min="6405" max="6405" width="15.5546875" customWidth="1"/>
    <col min="6406" max="6406" width="14.5546875" customWidth="1"/>
    <col min="6407" max="6407" width="16.5546875" customWidth="1"/>
    <col min="6408" max="6408" width="14.5546875" customWidth="1"/>
    <col min="6409" max="6409" width="11.5546875" customWidth="1"/>
    <col min="6410" max="6410" width="12.88671875" customWidth="1"/>
    <col min="6411" max="6412" width="13.5546875" customWidth="1"/>
    <col min="6413" max="6413" width="13.44140625" bestFit="1" customWidth="1"/>
    <col min="6657" max="6657" width="6.109375" customWidth="1"/>
    <col min="6658" max="6658" width="28.109375" customWidth="1"/>
    <col min="6659" max="6659" width="13.88671875" customWidth="1"/>
    <col min="6660" max="6660" width="14.5546875" customWidth="1"/>
    <col min="6661" max="6661" width="15.5546875" customWidth="1"/>
    <col min="6662" max="6662" width="14.5546875" customWidth="1"/>
    <col min="6663" max="6663" width="16.5546875" customWidth="1"/>
    <col min="6664" max="6664" width="14.5546875" customWidth="1"/>
    <col min="6665" max="6665" width="11.5546875" customWidth="1"/>
    <col min="6666" max="6666" width="12.88671875" customWidth="1"/>
    <col min="6667" max="6668" width="13.5546875" customWidth="1"/>
    <col min="6669" max="6669" width="13.44140625" bestFit="1" customWidth="1"/>
    <col min="6913" max="6913" width="6.109375" customWidth="1"/>
    <col min="6914" max="6914" width="28.109375" customWidth="1"/>
    <col min="6915" max="6915" width="13.88671875" customWidth="1"/>
    <col min="6916" max="6916" width="14.5546875" customWidth="1"/>
    <col min="6917" max="6917" width="15.5546875" customWidth="1"/>
    <col min="6918" max="6918" width="14.5546875" customWidth="1"/>
    <col min="6919" max="6919" width="16.5546875" customWidth="1"/>
    <col min="6920" max="6920" width="14.5546875" customWidth="1"/>
    <col min="6921" max="6921" width="11.5546875" customWidth="1"/>
    <col min="6922" max="6922" width="12.88671875" customWidth="1"/>
    <col min="6923" max="6924" width="13.5546875" customWidth="1"/>
    <col min="6925" max="6925" width="13.44140625" bestFit="1" customWidth="1"/>
    <col min="7169" max="7169" width="6.109375" customWidth="1"/>
    <col min="7170" max="7170" width="28.109375" customWidth="1"/>
    <col min="7171" max="7171" width="13.88671875" customWidth="1"/>
    <col min="7172" max="7172" width="14.5546875" customWidth="1"/>
    <col min="7173" max="7173" width="15.5546875" customWidth="1"/>
    <col min="7174" max="7174" width="14.5546875" customWidth="1"/>
    <col min="7175" max="7175" width="16.5546875" customWidth="1"/>
    <col min="7176" max="7176" width="14.5546875" customWidth="1"/>
    <col min="7177" max="7177" width="11.5546875" customWidth="1"/>
    <col min="7178" max="7178" width="12.88671875" customWidth="1"/>
    <col min="7179" max="7180" width="13.5546875" customWidth="1"/>
    <col min="7181" max="7181" width="13.44140625" bestFit="1" customWidth="1"/>
    <col min="7425" max="7425" width="6.109375" customWidth="1"/>
    <col min="7426" max="7426" width="28.109375" customWidth="1"/>
    <col min="7427" max="7427" width="13.88671875" customWidth="1"/>
    <col min="7428" max="7428" width="14.5546875" customWidth="1"/>
    <col min="7429" max="7429" width="15.5546875" customWidth="1"/>
    <col min="7430" max="7430" width="14.5546875" customWidth="1"/>
    <col min="7431" max="7431" width="16.5546875" customWidth="1"/>
    <col min="7432" max="7432" width="14.5546875" customWidth="1"/>
    <col min="7433" max="7433" width="11.5546875" customWidth="1"/>
    <col min="7434" max="7434" width="12.88671875" customWidth="1"/>
    <col min="7435" max="7436" width="13.5546875" customWidth="1"/>
    <col min="7437" max="7437" width="13.44140625" bestFit="1" customWidth="1"/>
    <col min="7681" max="7681" width="6.109375" customWidth="1"/>
    <col min="7682" max="7682" width="28.109375" customWidth="1"/>
    <col min="7683" max="7683" width="13.88671875" customWidth="1"/>
    <col min="7684" max="7684" width="14.5546875" customWidth="1"/>
    <col min="7685" max="7685" width="15.5546875" customWidth="1"/>
    <col min="7686" max="7686" width="14.5546875" customWidth="1"/>
    <col min="7687" max="7687" width="16.5546875" customWidth="1"/>
    <col min="7688" max="7688" width="14.5546875" customWidth="1"/>
    <col min="7689" max="7689" width="11.5546875" customWidth="1"/>
    <col min="7690" max="7690" width="12.88671875" customWidth="1"/>
    <col min="7691" max="7692" width="13.5546875" customWidth="1"/>
    <col min="7693" max="7693" width="13.44140625" bestFit="1" customWidth="1"/>
    <col min="7937" max="7937" width="6.109375" customWidth="1"/>
    <col min="7938" max="7938" width="28.109375" customWidth="1"/>
    <col min="7939" max="7939" width="13.88671875" customWidth="1"/>
    <col min="7940" max="7940" width="14.5546875" customWidth="1"/>
    <col min="7941" max="7941" width="15.5546875" customWidth="1"/>
    <col min="7942" max="7942" width="14.5546875" customWidth="1"/>
    <col min="7943" max="7943" width="16.5546875" customWidth="1"/>
    <col min="7944" max="7944" width="14.5546875" customWidth="1"/>
    <col min="7945" max="7945" width="11.5546875" customWidth="1"/>
    <col min="7946" max="7946" width="12.88671875" customWidth="1"/>
    <col min="7947" max="7948" width="13.5546875" customWidth="1"/>
    <col min="7949" max="7949" width="13.44140625" bestFit="1" customWidth="1"/>
    <col min="8193" max="8193" width="6.109375" customWidth="1"/>
    <col min="8194" max="8194" width="28.109375" customWidth="1"/>
    <col min="8195" max="8195" width="13.88671875" customWidth="1"/>
    <col min="8196" max="8196" width="14.5546875" customWidth="1"/>
    <col min="8197" max="8197" width="15.5546875" customWidth="1"/>
    <col min="8198" max="8198" width="14.5546875" customWidth="1"/>
    <col min="8199" max="8199" width="16.5546875" customWidth="1"/>
    <col min="8200" max="8200" width="14.5546875" customWidth="1"/>
    <col min="8201" max="8201" width="11.5546875" customWidth="1"/>
    <col min="8202" max="8202" width="12.88671875" customWidth="1"/>
    <col min="8203" max="8204" width="13.5546875" customWidth="1"/>
    <col min="8205" max="8205" width="13.44140625" bestFit="1" customWidth="1"/>
    <col min="8449" max="8449" width="6.109375" customWidth="1"/>
    <col min="8450" max="8450" width="28.109375" customWidth="1"/>
    <col min="8451" max="8451" width="13.88671875" customWidth="1"/>
    <col min="8452" max="8452" width="14.5546875" customWidth="1"/>
    <col min="8453" max="8453" width="15.5546875" customWidth="1"/>
    <col min="8454" max="8454" width="14.5546875" customWidth="1"/>
    <col min="8455" max="8455" width="16.5546875" customWidth="1"/>
    <col min="8456" max="8456" width="14.5546875" customWidth="1"/>
    <col min="8457" max="8457" width="11.5546875" customWidth="1"/>
    <col min="8458" max="8458" width="12.88671875" customWidth="1"/>
    <col min="8459" max="8460" width="13.5546875" customWidth="1"/>
    <col min="8461" max="8461" width="13.44140625" bestFit="1" customWidth="1"/>
    <col min="8705" max="8705" width="6.109375" customWidth="1"/>
    <col min="8706" max="8706" width="28.109375" customWidth="1"/>
    <col min="8707" max="8707" width="13.88671875" customWidth="1"/>
    <col min="8708" max="8708" width="14.5546875" customWidth="1"/>
    <col min="8709" max="8709" width="15.5546875" customWidth="1"/>
    <col min="8710" max="8710" width="14.5546875" customWidth="1"/>
    <col min="8711" max="8711" width="16.5546875" customWidth="1"/>
    <col min="8712" max="8712" width="14.5546875" customWidth="1"/>
    <col min="8713" max="8713" width="11.5546875" customWidth="1"/>
    <col min="8714" max="8714" width="12.88671875" customWidth="1"/>
    <col min="8715" max="8716" width="13.5546875" customWidth="1"/>
    <col min="8717" max="8717" width="13.44140625" bestFit="1" customWidth="1"/>
    <col min="8961" max="8961" width="6.109375" customWidth="1"/>
    <col min="8962" max="8962" width="28.109375" customWidth="1"/>
    <col min="8963" max="8963" width="13.88671875" customWidth="1"/>
    <col min="8964" max="8964" width="14.5546875" customWidth="1"/>
    <col min="8965" max="8965" width="15.5546875" customWidth="1"/>
    <col min="8966" max="8966" width="14.5546875" customWidth="1"/>
    <col min="8967" max="8967" width="16.5546875" customWidth="1"/>
    <col min="8968" max="8968" width="14.5546875" customWidth="1"/>
    <col min="8969" max="8969" width="11.5546875" customWidth="1"/>
    <col min="8970" max="8970" width="12.88671875" customWidth="1"/>
    <col min="8971" max="8972" width="13.5546875" customWidth="1"/>
    <col min="8973" max="8973" width="13.44140625" bestFit="1" customWidth="1"/>
    <col min="9217" max="9217" width="6.109375" customWidth="1"/>
    <col min="9218" max="9218" width="28.109375" customWidth="1"/>
    <col min="9219" max="9219" width="13.88671875" customWidth="1"/>
    <col min="9220" max="9220" width="14.5546875" customWidth="1"/>
    <col min="9221" max="9221" width="15.5546875" customWidth="1"/>
    <col min="9222" max="9222" width="14.5546875" customWidth="1"/>
    <col min="9223" max="9223" width="16.5546875" customWidth="1"/>
    <col min="9224" max="9224" width="14.5546875" customWidth="1"/>
    <col min="9225" max="9225" width="11.5546875" customWidth="1"/>
    <col min="9226" max="9226" width="12.88671875" customWidth="1"/>
    <col min="9227" max="9228" width="13.5546875" customWidth="1"/>
    <col min="9229" max="9229" width="13.44140625" bestFit="1" customWidth="1"/>
    <col min="9473" max="9473" width="6.109375" customWidth="1"/>
    <col min="9474" max="9474" width="28.109375" customWidth="1"/>
    <col min="9475" max="9475" width="13.88671875" customWidth="1"/>
    <col min="9476" max="9476" width="14.5546875" customWidth="1"/>
    <col min="9477" max="9477" width="15.5546875" customWidth="1"/>
    <col min="9478" max="9478" width="14.5546875" customWidth="1"/>
    <col min="9479" max="9479" width="16.5546875" customWidth="1"/>
    <col min="9480" max="9480" width="14.5546875" customWidth="1"/>
    <col min="9481" max="9481" width="11.5546875" customWidth="1"/>
    <col min="9482" max="9482" width="12.88671875" customWidth="1"/>
    <col min="9483" max="9484" width="13.5546875" customWidth="1"/>
    <col min="9485" max="9485" width="13.44140625" bestFit="1" customWidth="1"/>
    <col min="9729" max="9729" width="6.109375" customWidth="1"/>
    <col min="9730" max="9730" width="28.109375" customWidth="1"/>
    <col min="9731" max="9731" width="13.88671875" customWidth="1"/>
    <col min="9732" max="9732" width="14.5546875" customWidth="1"/>
    <col min="9733" max="9733" width="15.5546875" customWidth="1"/>
    <col min="9734" max="9734" width="14.5546875" customWidth="1"/>
    <col min="9735" max="9735" width="16.5546875" customWidth="1"/>
    <col min="9736" max="9736" width="14.5546875" customWidth="1"/>
    <col min="9737" max="9737" width="11.5546875" customWidth="1"/>
    <col min="9738" max="9738" width="12.88671875" customWidth="1"/>
    <col min="9739" max="9740" width="13.5546875" customWidth="1"/>
    <col min="9741" max="9741" width="13.44140625" bestFit="1" customWidth="1"/>
    <col min="9985" max="9985" width="6.109375" customWidth="1"/>
    <col min="9986" max="9986" width="28.109375" customWidth="1"/>
    <col min="9987" max="9987" width="13.88671875" customWidth="1"/>
    <col min="9988" max="9988" width="14.5546875" customWidth="1"/>
    <col min="9989" max="9989" width="15.5546875" customWidth="1"/>
    <col min="9990" max="9990" width="14.5546875" customWidth="1"/>
    <col min="9991" max="9991" width="16.5546875" customWidth="1"/>
    <col min="9992" max="9992" width="14.5546875" customWidth="1"/>
    <col min="9993" max="9993" width="11.5546875" customWidth="1"/>
    <col min="9994" max="9994" width="12.88671875" customWidth="1"/>
    <col min="9995" max="9996" width="13.5546875" customWidth="1"/>
    <col min="9997" max="9997" width="13.44140625" bestFit="1" customWidth="1"/>
    <col min="10241" max="10241" width="6.109375" customWidth="1"/>
    <col min="10242" max="10242" width="28.109375" customWidth="1"/>
    <col min="10243" max="10243" width="13.88671875" customWidth="1"/>
    <col min="10244" max="10244" width="14.5546875" customWidth="1"/>
    <col min="10245" max="10245" width="15.5546875" customWidth="1"/>
    <col min="10246" max="10246" width="14.5546875" customWidth="1"/>
    <col min="10247" max="10247" width="16.5546875" customWidth="1"/>
    <col min="10248" max="10248" width="14.5546875" customWidth="1"/>
    <col min="10249" max="10249" width="11.5546875" customWidth="1"/>
    <col min="10250" max="10250" width="12.88671875" customWidth="1"/>
    <col min="10251" max="10252" width="13.5546875" customWidth="1"/>
    <col min="10253" max="10253" width="13.44140625" bestFit="1" customWidth="1"/>
    <col min="10497" max="10497" width="6.109375" customWidth="1"/>
    <col min="10498" max="10498" width="28.109375" customWidth="1"/>
    <col min="10499" max="10499" width="13.88671875" customWidth="1"/>
    <col min="10500" max="10500" width="14.5546875" customWidth="1"/>
    <col min="10501" max="10501" width="15.5546875" customWidth="1"/>
    <col min="10502" max="10502" width="14.5546875" customWidth="1"/>
    <col min="10503" max="10503" width="16.5546875" customWidth="1"/>
    <col min="10504" max="10504" width="14.5546875" customWidth="1"/>
    <col min="10505" max="10505" width="11.5546875" customWidth="1"/>
    <col min="10506" max="10506" width="12.88671875" customWidth="1"/>
    <col min="10507" max="10508" width="13.5546875" customWidth="1"/>
    <col min="10509" max="10509" width="13.44140625" bestFit="1" customWidth="1"/>
    <col min="10753" max="10753" width="6.109375" customWidth="1"/>
    <col min="10754" max="10754" width="28.109375" customWidth="1"/>
    <col min="10755" max="10755" width="13.88671875" customWidth="1"/>
    <col min="10756" max="10756" width="14.5546875" customWidth="1"/>
    <col min="10757" max="10757" width="15.5546875" customWidth="1"/>
    <col min="10758" max="10758" width="14.5546875" customWidth="1"/>
    <col min="10759" max="10759" width="16.5546875" customWidth="1"/>
    <col min="10760" max="10760" width="14.5546875" customWidth="1"/>
    <col min="10761" max="10761" width="11.5546875" customWidth="1"/>
    <col min="10762" max="10762" width="12.88671875" customWidth="1"/>
    <col min="10763" max="10764" width="13.5546875" customWidth="1"/>
    <col min="10765" max="10765" width="13.44140625" bestFit="1" customWidth="1"/>
    <col min="11009" max="11009" width="6.109375" customWidth="1"/>
    <col min="11010" max="11010" width="28.109375" customWidth="1"/>
    <col min="11011" max="11011" width="13.88671875" customWidth="1"/>
    <col min="11012" max="11012" width="14.5546875" customWidth="1"/>
    <col min="11013" max="11013" width="15.5546875" customWidth="1"/>
    <col min="11014" max="11014" width="14.5546875" customWidth="1"/>
    <col min="11015" max="11015" width="16.5546875" customWidth="1"/>
    <col min="11016" max="11016" width="14.5546875" customWidth="1"/>
    <col min="11017" max="11017" width="11.5546875" customWidth="1"/>
    <col min="11018" max="11018" width="12.88671875" customWidth="1"/>
    <col min="11019" max="11020" width="13.5546875" customWidth="1"/>
    <col min="11021" max="11021" width="13.44140625" bestFit="1" customWidth="1"/>
    <col min="11265" max="11265" width="6.109375" customWidth="1"/>
    <col min="11266" max="11266" width="28.109375" customWidth="1"/>
    <col min="11267" max="11267" width="13.88671875" customWidth="1"/>
    <col min="11268" max="11268" width="14.5546875" customWidth="1"/>
    <col min="11269" max="11269" width="15.5546875" customWidth="1"/>
    <col min="11270" max="11270" width="14.5546875" customWidth="1"/>
    <col min="11271" max="11271" width="16.5546875" customWidth="1"/>
    <col min="11272" max="11272" width="14.5546875" customWidth="1"/>
    <col min="11273" max="11273" width="11.5546875" customWidth="1"/>
    <col min="11274" max="11274" width="12.88671875" customWidth="1"/>
    <col min="11275" max="11276" width="13.5546875" customWidth="1"/>
    <col min="11277" max="11277" width="13.44140625" bestFit="1" customWidth="1"/>
    <col min="11521" max="11521" width="6.109375" customWidth="1"/>
    <col min="11522" max="11522" width="28.109375" customWidth="1"/>
    <col min="11523" max="11523" width="13.88671875" customWidth="1"/>
    <col min="11524" max="11524" width="14.5546875" customWidth="1"/>
    <col min="11525" max="11525" width="15.5546875" customWidth="1"/>
    <col min="11526" max="11526" width="14.5546875" customWidth="1"/>
    <col min="11527" max="11527" width="16.5546875" customWidth="1"/>
    <col min="11528" max="11528" width="14.5546875" customWidth="1"/>
    <col min="11529" max="11529" width="11.5546875" customWidth="1"/>
    <col min="11530" max="11530" width="12.88671875" customWidth="1"/>
    <col min="11531" max="11532" width="13.5546875" customWidth="1"/>
    <col min="11533" max="11533" width="13.44140625" bestFit="1" customWidth="1"/>
    <col min="11777" max="11777" width="6.109375" customWidth="1"/>
    <col min="11778" max="11778" width="28.109375" customWidth="1"/>
    <col min="11779" max="11779" width="13.88671875" customWidth="1"/>
    <col min="11780" max="11780" width="14.5546875" customWidth="1"/>
    <col min="11781" max="11781" width="15.5546875" customWidth="1"/>
    <col min="11782" max="11782" width="14.5546875" customWidth="1"/>
    <col min="11783" max="11783" width="16.5546875" customWidth="1"/>
    <col min="11784" max="11784" width="14.5546875" customWidth="1"/>
    <col min="11785" max="11785" width="11.5546875" customWidth="1"/>
    <col min="11786" max="11786" width="12.88671875" customWidth="1"/>
    <col min="11787" max="11788" width="13.5546875" customWidth="1"/>
    <col min="11789" max="11789" width="13.44140625" bestFit="1" customWidth="1"/>
    <col min="12033" max="12033" width="6.109375" customWidth="1"/>
    <col min="12034" max="12034" width="28.109375" customWidth="1"/>
    <col min="12035" max="12035" width="13.88671875" customWidth="1"/>
    <col min="12036" max="12036" width="14.5546875" customWidth="1"/>
    <col min="12037" max="12037" width="15.5546875" customWidth="1"/>
    <col min="12038" max="12038" width="14.5546875" customWidth="1"/>
    <col min="12039" max="12039" width="16.5546875" customWidth="1"/>
    <col min="12040" max="12040" width="14.5546875" customWidth="1"/>
    <col min="12041" max="12041" width="11.5546875" customWidth="1"/>
    <col min="12042" max="12042" width="12.88671875" customWidth="1"/>
    <col min="12043" max="12044" width="13.5546875" customWidth="1"/>
    <col min="12045" max="12045" width="13.44140625" bestFit="1" customWidth="1"/>
    <col min="12289" max="12289" width="6.109375" customWidth="1"/>
    <col min="12290" max="12290" width="28.109375" customWidth="1"/>
    <col min="12291" max="12291" width="13.88671875" customWidth="1"/>
    <col min="12292" max="12292" width="14.5546875" customWidth="1"/>
    <col min="12293" max="12293" width="15.5546875" customWidth="1"/>
    <col min="12294" max="12294" width="14.5546875" customWidth="1"/>
    <col min="12295" max="12295" width="16.5546875" customWidth="1"/>
    <col min="12296" max="12296" width="14.5546875" customWidth="1"/>
    <col min="12297" max="12297" width="11.5546875" customWidth="1"/>
    <col min="12298" max="12298" width="12.88671875" customWidth="1"/>
    <col min="12299" max="12300" width="13.5546875" customWidth="1"/>
    <col min="12301" max="12301" width="13.44140625" bestFit="1" customWidth="1"/>
    <col min="12545" max="12545" width="6.109375" customWidth="1"/>
    <col min="12546" max="12546" width="28.109375" customWidth="1"/>
    <col min="12547" max="12547" width="13.88671875" customWidth="1"/>
    <col min="12548" max="12548" width="14.5546875" customWidth="1"/>
    <col min="12549" max="12549" width="15.5546875" customWidth="1"/>
    <col min="12550" max="12550" width="14.5546875" customWidth="1"/>
    <col min="12551" max="12551" width="16.5546875" customWidth="1"/>
    <col min="12552" max="12552" width="14.5546875" customWidth="1"/>
    <col min="12553" max="12553" width="11.5546875" customWidth="1"/>
    <col min="12554" max="12554" width="12.88671875" customWidth="1"/>
    <col min="12555" max="12556" width="13.5546875" customWidth="1"/>
    <col min="12557" max="12557" width="13.44140625" bestFit="1" customWidth="1"/>
    <col min="12801" max="12801" width="6.109375" customWidth="1"/>
    <col min="12802" max="12802" width="28.109375" customWidth="1"/>
    <col min="12803" max="12803" width="13.88671875" customWidth="1"/>
    <col min="12804" max="12804" width="14.5546875" customWidth="1"/>
    <col min="12805" max="12805" width="15.5546875" customWidth="1"/>
    <col min="12806" max="12806" width="14.5546875" customWidth="1"/>
    <col min="12807" max="12807" width="16.5546875" customWidth="1"/>
    <col min="12808" max="12808" width="14.5546875" customWidth="1"/>
    <col min="12809" max="12809" width="11.5546875" customWidth="1"/>
    <col min="12810" max="12810" width="12.88671875" customWidth="1"/>
    <col min="12811" max="12812" width="13.5546875" customWidth="1"/>
    <col min="12813" max="12813" width="13.44140625" bestFit="1" customWidth="1"/>
    <col min="13057" max="13057" width="6.109375" customWidth="1"/>
    <col min="13058" max="13058" width="28.109375" customWidth="1"/>
    <col min="13059" max="13059" width="13.88671875" customWidth="1"/>
    <col min="13060" max="13060" width="14.5546875" customWidth="1"/>
    <col min="13061" max="13061" width="15.5546875" customWidth="1"/>
    <col min="13062" max="13062" width="14.5546875" customWidth="1"/>
    <col min="13063" max="13063" width="16.5546875" customWidth="1"/>
    <col min="13064" max="13064" width="14.5546875" customWidth="1"/>
    <col min="13065" max="13065" width="11.5546875" customWidth="1"/>
    <col min="13066" max="13066" width="12.88671875" customWidth="1"/>
    <col min="13067" max="13068" width="13.5546875" customWidth="1"/>
    <col min="13069" max="13069" width="13.44140625" bestFit="1" customWidth="1"/>
    <col min="13313" max="13313" width="6.109375" customWidth="1"/>
    <col min="13314" max="13314" width="28.109375" customWidth="1"/>
    <col min="13315" max="13315" width="13.88671875" customWidth="1"/>
    <col min="13316" max="13316" width="14.5546875" customWidth="1"/>
    <col min="13317" max="13317" width="15.5546875" customWidth="1"/>
    <col min="13318" max="13318" width="14.5546875" customWidth="1"/>
    <col min="13319" max="13319" width="16.5546875" customWidth="1"/>
    <col min="13320" max="13320" width="14.5546875" customWidth="1"/>
    <col min="13321" max="13321" width="11.5546875" customWidth="1"/>
    <col min="13322" max="13322" width="12.88671875" customWidth="1"/>
    <col min="13323" max="13324" width="13.5546875" customWidth="1"/>
    <col min="13325" max="13325" width="13.44140625" bestFit="1" customWidth="1"/>
    <col min="13569" max="13569" width="6.109375" customWidth="1"/>
    <col min="13570" max="13570" width="28.109375" customWidth="1"/>
    <col min="13571" max="13571" width="13.88671875" customWidth="1"/>
    <col min="13572" max="13572" width="14.5546875" customWidth="1"/>
    <col min="13573" max="13573" width="15.5546875" customWidth="1"/>
    <col min="13574" max="13574" width="14.5546875" customWidth="1"/>
    <col min="13575" max="13575" width="16.5546875" customWidth="1"/>
    <col min="13576" max="13576" width="14.5546875" customWidth="1"/>
    <col min="13577" max="13577" width="11.5546875" customWidth="1"/>
    <col min="13578" max="13578" width="12.88671875" customWidth="1"/>
    <col min="13579" max="13580" width="13.5546875" customWidth="1"/>
    <col min="13581" max="13581" width="13.44140625" bestFit="1" customWidth="1"/>
    <col min="13825" max="13825" width="6.109375" customWidth="1"/>
    <col min="13826" max="13826" width="28.109375" customWidth="1"/>
    <col min="13827" max="13827" width="13.88671875" customWidth="1"/>
    <col min="13828" max="13828" width="14.5546875" customWidth="1"/>
    <col min="13829" max="13829" width="15.5546875" customWidth="1"/>
    <col min="13830" max="13830" width="14.5546875" customWidth="1"/>
    <col min="13831" max="13831" width="16.5546875" customWidth="1"/>
    <col min="13832" max="13832" width="14.5546875" customWidth="1"/>
    <col min="13833" max="13833" width="11.5546875" customWidth="1"/>
    <col min="13834" max="13834" width="12.88671875" customWidth="1"/>
    <col min="13835" max="13836" width="13.5546875" customWidth="1"/>
    <col min="13837" max="13837" width="13.44140625" bestFit="1" customWidth="1"/>
    <col min="14081" max="14081" width="6.109375" customWidth="1"/>
    <col min="14082" max="14082" width="28.109375" customWidth="1"/>
    <col min="14083" max="14083" width="13.88671875" customWidth="1"/>
    <col min="14084" max="14084" width="14.5546875" customWidth="1"/>
    <col min="14085" max="14085" width="15.5546875" customWidth="1"/>
    <col min="14086" max="14086" width="14.5546875" customWidth="1"/>
    <col min="14087" max="14087" width="16.5546875" customWidth="1"/>
    <col min="14088" max="14088" width="14.5546875" customWidth="1"/>
    <col min="14089" max="14089" width="11.5546875" customWidth="1"/>
    <col min="14090" max="14090" width="12.88671875" customWidth="1"/>
    <col min="14091" max="14092" width="13.5546875" customWidth="1"/>
    <col min="14093" max="14093" width="13.44140625" bestFit="1" customWidth="1"/>
    <col min="14337" max="14337" width="6.109375" customWidth="1"/>
    <col min="14338" max="14338" width="28.109375" customWidth="1"/>
    <col min="14339" max="14339" width="13.88671875" customWidth="1"/>
    <col min="14340" max="14340" width="14.5546875" customWidth="1"/>
    <col min="14341" max="14341" width="15.5546875" customWidth="1"/>
    <col min="14342" max="14342" width="14.5546875" customWidth="1"/>
    <col min="14343" max="14343" width="16.5546875" customWidth="1"/>
    <col min="14344" max="14344" width="14.5546875" customWidth="1"/>
    <col min="14345" max="14345" width="11.5546875" customWidth="1"/>
    <col min="14346" max="14346" width="12.88671875" customWidth="1"/>
    <col min="14347" max="14348" width="13.5546875" customWidth="1"/>
    <col min="14349" max="14349" width="13.44140625" bestFit="1" customWidth="1"/>
    <col min="14593" max="14593" width="6.109375" customWidth="1"/>
    <col min="14594" max="14594" width="28.109375" customWidth="1"/>
    <col min="14595" max="14595" width="13.88671875" customWidth="1"/>
    <col min="14596" max="14596" width="14.5546875" customWidth="1"/>
    <col min="14597" max="14597" width="15.5546875" customWidth="1"/>
    <col min="14598" max="14598" width="14.5546875" customWidth="1"/>
    <col min="14599" max="14599" width="16.5546875" customWidth="1"/>
    <col min="14600" max="14600" width="14.5546875" customWidth="1"/>
    <col min="14601" max="14601" width="11.5546875" customWidth="1"/>
    <col min="14602" max="14602" width="12.88671875" customWidth="1"/>
    <col min="14603" max="14604" width="13.5546875" customWidth="1"/>
    <col min="14605" max="14605" width="13.44140625" bestFit="1" customWidth="1"/>
    <col min="14849" max="14849" width="6.109375" customWidth="1"/>
    <col min="14850" max="14850" width="28.109375" customWidth="1"/>
    <col min="14851" max="14851" width="13.88671875" customWidth="1"/>
    <col min="14852" max="14852" width="14.5546875" customWidth="1"/>
    <col min="14853" max="14853" width="15.5546875" customWidth="1"/>
    <col min="14854" max="14854" width="14.5546875" customWidth="1"/>
    <col min="14855" max="14855" width="16.5546875" customWidth="1"/>
    <col min="14856" max="14856" width="14.5546875" customWidth="1"/>
    <col min="14857" max="14857" width="11.5546875" customWidth="1"/>
    <col min="14858" max="14858" width="12.88671875" customWidth="1"/>
    <col min="14859" max="14860" width="13.5546875" customWidth="1"/>
    <col min="14861" max="14861" width="13.44140625" bestFit="1" customWidth="1"/>
    <col min="15105" max="15105" width="6.109375" customWidth="1"/>
    <col min="15106" max="15106" width="28.109375" customWidth="1"/>
    <col min="15107" max="15107" width="13.88671875" customWidth="1"/>
    <col min="15108" max="15108" width="14.5546875" customWidth="1"/>
    <col min="15109" max="15109" width="15.5546875" customWidth="1"/>
    <col min="15110" max="15110" width="14.5546875" customWidth="1"/>
    <col min="15111" max="15111" width="16.5546875" customWidth="1"/>
    <col min="15112" max="15112" width="14.5546875" customWidth="1"/>
    <col min="15113" max="15113" width="11.5546875" customWidth="1"/>
    <col min="15114" max="15114" width="12.88671875" customWidth="1"/>
    <col min="15115" max="15116" width="13.5546875" customWidth="1"/>
    <col min="15117" max="15117" width="13.44140625" bestFit="1" customWidth="1"/>
    <col min="15361" max="15361" width="6.109375" customWidth="1"/>
    <col min="15362" max="15362" width="28.109375" customWidth="1"/>
    <col min="15363" max="15363" width="13.88671875" customWidth="1"/>
    <col min="15364" max="15364" width="14.5546875" customWidth="1"/>
    <col min="15365" max="15365" width="15.5546875" customWidth="1"/>
    <col min="15366" max="15366" width="14.5546875" customWidth="1"/>
    <col min="15367" max="15367" width="16.5546875" customWidth="1"/>
    <col min="15368" max="15368" width="14.5546875" customWidth="1"/>
    <col min="15369" max="15369" width="11.5546875" customWidth="1"/>
    <col min="15370" max="15370" width="12.88671875" customWidth="1"/>
    <col min="15371" max="15372" width="13.5546875" customWidth="1"/>
    <col min="15373" max="15373" width="13.44140625" bestFit="1" customWidth="1"/>
    <col min="15617" max="15617" width="6.109375" customWidth="1"/>
    <col min="15618" max="15618" width="28.109375" customWidth="1"/>
    <col min="15619" max="15619" width="13.88671875" customWidth="1"/>
    <col min="15620" max="15620" width="14.5546875" customWidth="1"/>
    <col min="15621" max="15621" width="15.5546875" customWidth="1"/>
    <col min="15622" max="15622" width="14.5546875" customWidth="1"/>
    <col min="15623" max="15623" width="16.5546875" customWidth="1"/>
    <col min="15624" max="15624" width="14.5546875" customWidth="1"/>
    <col min="15625" max="15625" width="11.5546875" customWidth="1"/>
    <col min="15626" max="15626" width="12.88671875" customWidth="1"/>
    <col min="15627" max="15628" width="13.5546875" customWidth="1"/>
    <col min="15629" max="15629" width="13.44140625" bestFit="1" customWidth="1"/>
    <col min="15873" max="15873" width="6.109375" customWidth="1"/>
    <col min="15874" max="15874" width="28.109375" customWidth="1"/>
    <col min="15875" max="15875" width="13.88671875" customWidth="1"/>
    <col min="15876" max="15876" width="14.5546875" customWidth="1"/>
    <col min="15877" max="15877" width="15.5546875" customWidth="1"/>
    <col min="15878" max="15878" width="14.5546875" customWidth="1"/>
    <col min="15879" max="15879" width="16.5546875" customWidth="1"/>
    <col min="15880" max="15880" width="14.5546875" customWidth="1"/>
    <col min="15881" max="15881" width="11.5546875" customWidth="1"/>
    <col min="15882" max="15882" width="12.88671875" customWidth="1"/>
    <col min="15883" max="15884" width="13.5546875" customWidth="1"/>
    <col min="15885" max="15885" width="13.44140625" bestFit="1" customWidth="1"/>
    <col min="16129" max="16129" width="6.109375" customWidth="1"/>
    <col min="16130" max="16130" width="28.109375" customWidth="1"/>
    <col min="16131" max="16131" width="13.88671875" customWidth="1"/>
    <col min="16132" max="16132" width="14.5546875" customWidth="1"/>
    <col min="16133" max="16133" width="15.5546875" customWidth="1"/>
    <col min="16134" max="16134" width="14.5546875" customWidth="1"/>
    <col min="16135" max="16135" width="16.5546875" customWidth="1"/>
    <col min="16136" max="16136" width="14.5546875" customWidth="1"/>
    <col min="16137" max="16137" width="11.5546875" customWidth="1"/>
    <col min="16138" max="16138" width="12.88671875" customWidth="1"/>
    <col min="16139" max="16140" width="13.5546875" customWidth="1"/>
    <col min="16141" max="16141" width="13.44140625" bestFit="1" customWidth="1"/>
  </cols>
  <sheetData>
    <row r="1" spans="1:14" ht="18" x14ac:dyDescent="0.35">
      <c r="B1" s="29" t="s">
        <v>580</v>
      </c>
    </row>
    <row r="2" spans="1:14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0"/>
      <c r="N2" s="32"/>
    </row>
    <row r="3" spans="1:14" s="40" customFormat="1" x14ac:dyDescent="0.3">
      <c r="A3" s="33"/>
      <c r="B3" s="868" t="s">
        <v>581</v>
      </c>
      <c r="C3" s="34" t="s">
        <v>1</v>
      </c>
      <c r="D3" s="35" t="s">
        <v>2</v>
      </c>
      <c r="E3" s="36" t="s">
        <v>3</v>
      </c>
      <c r="F3" s="36" t="s">
        <v>4</v>
      </c>
      <c r="G3" s="36" t="s">
        <v>5</v>
      </c>
      <c r="H3" s="36" t="s">
        <v>6</v>
      </c>
      <c r="I3" s="37" t="s">
        <v>7</v>
      </c>
      <c r="J3" s="37" t="s">
        <v>8</v>
      </c>
      <c r="K3" s="37" t="s">
        <v>9</v>
      </c>
      <c r="L3" s="37" t="s">
        <v>10</v>
      </c>
      <c r="M3" s="38"/>
      <c r="N3" s="39"/>
    </row>
    <row r="4" spans="1:14" ht="91.35" customHeight="1" x14ac:dyDescent="0.3">
      <c r="A4" s="41"/>
      <c r="B4" s="869"/>
      <c r="C4" s="42" t="s">
        <v>190</v>
      </c>
      <c r="D4" s="36" t="s">
        <v>12</v>
      </c>
      <c r="E4" s="36" t="s">
        <v>13</v>
      </c>
      <c r="F4" s="36" t="s">
        <v>14</v>
      </c>
      <c r="G4" s="36" t="s">
        <v>15</v>
      </c>
      <c r="H4" s="36" t="s">
        <v>191</v>
      </c>
      <c r="I4" s="43" t="s">
        <v>17</v>
      </c>
      <c r="J4" s="43" t="s">
        <v>18</v>
      </c>
      <c r="K4" s="43" t="s">
        <v>19</v>
      </c>
      <c r="L4" s="43" t="s">
        <v>360</v>
      </c>
      <c r="M4" s="36" t="s">
        <v>193</v>
      </c>
      <c r="N4" s="32"/>
    </row>
    <row r="5" spans="1:14" s="40" customFormat="1" ht="30" customHeight="1" x14ac:dyDescent="0.3">
      <c r="A5" s="44"/>
      <c r="B5" s="123" t="s">
        <v>582</v>
      </c>
      <c r="C5" s="90">
        <v>400000</v>
      </c>
      <c r="D5" s="90">
        <v>80000</v>
      </c>
      <c r="E5" s="90"/>
      <c r="F5" s="90"/>
      <c r="G5" s="90"/>
      <c r="H5" s="90"/>
      <c r="I5" s="90"/>
      <c r="J5" s="90"/>
      <c r="K5" s="90"/>
      <c r="L5" s="90"/>
      <c r="M5" s="980">
        <v>12</v>
      </c>
      <c r="N5" s="39"/>
    </row>
    <row r="6" spans="1:14" ht="28.5" customHeight="1" x14ac:dyDescent="0.3">
      <c r="A6" s="51"/>
      <c r="B6" s="567" t="s">
        <v>583</v>
      </c>
      <c r="C6" s="50">
        <v>300000</v>
      </c>
      <c r="D6" s="49">
        <v>30000</v>
      </c>
      <c r="E6" s="50"/>
      <c r="F6" s="50">
        <v>25000</v>
      </c>
      <c r="G6" s="50">
        <v>5000</v>
      </c>
      <c r="H6" s="50"/>
      <c r="I6" s="50"/>
      <c r="J6" s="50"/>
      <c r="K6" s="50"/>
      <c r="L6" s="50"/>
      <c r="M6" s="981"/>
      <c r="N6" s="32"/>
    </row>
    <row r="7" spans="1:14" ht="28.2" x14ac:dyDescent="0.3">
      <c r="A7" s="19"/>
      <c r="B7" s="568" t="s">
        <v>584</v>
      </c>
      <c r="C7" s="19">
        <v>0</v>
      </c>
      <c r="D7" s="49">
        <v>30000</v>
      </c>
      <c r="E7" s="19"/>
      <c r="F7" s="19"/>
      <c r="G7" s="19"/>
      <c r="H7" s="19"/>
      <c r="I7" s="19"/>
      <c r="J7" s="19"/>
      <c r="K7" s="54"/>
      <c r="L7" s="54"/>
      <c r="M7" s="982"/>
      <c r="N7" s="32"/>
    </row>
    <row r="8" spans="1:14" x14ac:dyDescent="0.3">
      <c r="A8" s="30"/>
      <c r="B8" s="30"/>
      <c r="C8" s="30"/>
      <c r="D8" s="30"/>
      <c r="E8" s="30"/>
      <c r="F8" s="30"/>
      <c r="G8" s="30"/>
      <c r="H8" s="30"/>
      <c r="I8" s="30"/>
      <c r="J8" s="30"/>
      <c r="K8" s="31"/>
      <c r="L8" s="31"/>
      <c r="M8" s="30"/>
      <c r="N8" s="32"/>
    </row>
    <row r="9" spans="1:14" ht="15" thickBot="1" x14ac:dyDescent="0.35">
      <c r="A9" s="320" t="s">
        <v>607</v>
      </c>
      <c r="B9" s="56"/>
      <c r="D9" s="56"/>
      <c r="K9" s="1"/>
      <c r="L9" s="1"/>
      <c r="M9" s="1"/>
    </row>
    <row r="10" spans="1:14" s="40" customFormat="1" ht="15" thickBot="1" x14ac:dyDescent="0.35">
      <c r="A10" s="872" t="s">
        <v>37</v>
      </c>
      <c r="B10" s="873"/>
      <c r="C10" s="873"/>
      <c r="D10" s="873"/>
      <c r="E10" s="873"/>
      <c r="F10" s="873"/>
      <c r="G10" s="873"/>
      <c r="H10" s="873"/>
      <c r="I10" s="874"/>
      <c r="J10" s="2"/>
      <c r="K10" s="3" t="s">
        <v>38</v>
      </c>
      <c r="L10" s="4"/>
      <c r="M10" s="5"/>
    </row>
    <row r="11" spans="1:14" s="24" customFormat="1" ht="83.4" thickBot="1" x14ac:dyDescent="0.35">
      <c r="A11" s="100"/>
      <c r="B11" s="101" t="s">
        <v>40</v>
      </c>
      <c r="C11" s="899" t="s">
        <v>41</v>
      </c>
      <c r="D11" s="900"/>
      <c r="E11" s="901" t="s">
        <v>42</v>
      </c>
      <c r="F11" s="902"/>
      <c r="G11" s="899" t="s">
        <v>43</v>
      </c>
      <c r="H11" s="900"/>
      <c r="I11" s="7" t="s">
        <v>239</v>
      </c>
      <c r="J11" s="7" t="s">
        <v>208</v>
      </c>
      <c r="K11" s="8" t="s">
        <v>45</v>
      </c>
      <c r="L11" s="7" t="s">
        <v>46</v>
      </c>
      <c r="M11" s="6" t="s">
        <v>39</v>
      </c>
    </row>
    <row r="12" spans="1:14" s="24" customFormat="1" x14ac:dyDescent="0.3">
      <c r="A12" s="9"/>
      <c r="B12" s="10"/>
      <c r="C12" s="11" t="s">
        <v>48</v>
      </c>
      <c r="D12" s="12" t="s">
        <v>49</v>
      </c>
      <c r="E12" s="13" t="s">
        <v>48</v>
      </c>
      <c r="F12" s="13" t="s">
        <v>49</v>
      </c>
      <c r="G12" s="12" t="s">
        <v>48</v>
      </c>
      <c r="H12" s="12" t="s">
        <v>49</v>
      </c>
      <c r="I12" s="14"/>
      <c r="J12" s="103"/>
      <c r="K12" s="12"/>
      <c r="L12" s="12"/>
      <c r="M12" s="15"/>
    </row>
    <row r="13" spans="1:14" s="24" customFormat="1" ht="27.9" customHeight="1" x14ac:dyDescent="0.3">
      <c r="A13" s="105"/>
      <c r="B13" s="507" t="s">
        <v>582</v>
      </c>
      <c r="C13" s="70">
        <v>5000</v>
      </c>
      <c r="D13" s="70">
        <v>5000</v>
      </c>
      <c r="E13" s="16"/>
      <c r="F13" s="70"/>
      <c r="G13" s="16">
        <v>2500</v>
      </c>
      <c r="H13" s="70">
        <v>1000</v>
      </c>
      <c r="I13" s="16">
        <v>3000</v>
      </c>
      <c r="J13" s="16">
        <v>3000</v>
      </c>
      <c r="K13" s="16"/>
      <c r="L13" s="16"/>
      <c r="M13" s="16">
        <v>2000</v>
      </c>
    </row>
    <row r="14" spans="1:14" s="1" customFormat="1" ht="27.9" customHeight="1" x14ac:dyDescent="0.3">
      <c r="A14" s="17"/>
      <c r="B14" s="567" t="s">
        <v>583</v>
      </c>
      <c r="C14" s="78"/>
      <c r="D14" s="78"/>
      <c r="E14" s="78"/>
      <c r="F14" s="78"/>
      <c r="G14" s="78">
        <v>2500</v>
      </c>
      <c r="H14" s="78">
        <v>1000</v>
      </c>
      <c r="I14" s="78">
        <v>1500</v>
      </c>
      <c r="J14" s="18">
        <v>500</v>
      </c>
      <c r="K14" s="492"/>
      <c r="L14" s="492"/>
      <c r="M14" s="492">
        <v>1500</v>
      </c>
    </row>
    <row r="15" spans="1:14" s="1" customFormat="1" ht="28.2" x14ac:dyDescent="0.3">
      <c r="A15" s="17"/>
      <c r="B15" s="568" t="s">
        <v>584</v>
      </c>
      <c r="C15" s="18"/>
      <c r="D15" s="78">
        <v>2000</v>
      </c>
      <c r="E15" s="18"/>
      <c r="F15" s="18">
        <v>2000</v>
      </c>
      <c r="G15" s="18"/>
      <c r="H15" s="18">
        <v>2000</v>
      </c>
      <c r="I15" s="18"/>
      <c r="J15" s="18">
        <v>3000</v>
      </c>
      <c r="K15" s="492"/>
      <c r="L15" s="492"/>
      <c r="M15" s="492">
        <v>1500</v>
      </c>
    </row>
    <row r="16" spans="1:14" s="1" customFormat="1" x14ac:dyDescent="0.3">
      <c r="A16"/>
      <c r="B16" s="56"/>
      <c r="C16"/>
      <c r="D16" s="56"/>
      <c r="E16"/>
      <c r="F16"/>
      <c r="G16"/>
      <c r="H16"/>
      <c r="I16"/>
      <c r="J16"/>
    </row>
    <row r="17" spans="2:14" ht="38.1" customHeight="1" x14ac:dyDescent="0.3">
      <c r="B17" s="32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2:14" ht="38.1" customHeight="1" x14ac:dyDescent="0.3">
      <c r="B18" s="32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</sheetData>
  <mergeCells count="6">
    <mergeCell ref="B3:B4"/>
    <mergeCell ref="M5:M7"/>
    <mergeCell ref="A10:I10"/>
    <mergeCell ref="C11:D11"/>
    <mergeCell ref="E11:F11"/>
    <mergeCell ref="G11:H11"/>
  </mergeCells>
  <pageMargins left="0.25" right="0.22" top="0.74803149606299213" bottom="0.74803149606299213" header="0.31496062992125984" footer="0.31496062992125984"/>
  <pageSetup paperSize="9" scale="7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3096E-D882-4AE9-92AC-EF605CD8AF09}">
  <dimension ref="B2:D37"/>
  <sheetViews>
    <sheetView workbookViewId="0">
      <selection activeCell="H29" sqref="H29"/>
    </sheetView>
  </sheetViews>
  <sheetFormatPr defaultRowHeight="14.4" x14ac:dyDescent="0.3"/>
  <cols>
    <col min="2" max="2" width="45.77734375" customWidth="1"/>
    <col min="3" max="3" width="20.21875" customWidth="1"/>
    <col min="4" max="4" width="15.77734375" customWidth="1"/>
  </cols>
  <sheetData>
    <row r="2" spans="2:4" ht="52.2" customHeight="1" x14ac:dyDescent="0.3">
      <c r="B2" s="569" t="s">
        <v>585</v>
      </c>
    </row>
    <row r="3" spans="2:4" ht="15" thickBot="1" x14ac:dyDescent="0.35">
      <c r="B3" s="570" t="s">
        <v>127</v>
      </c>
    </row>
    <row r="4" spans="2:4" ht="40.200000000000003" customHeight="1" thickBot="1" x14ac:dyDescent="0.35">
      <c r="B4" s="571" t="s">
        <v>586</v>
      </c>
      <c r="C4" s="572" t="s">
        <v>587</v>
      </c>
      <c r="D4" s="572" t="s">
        <v>588</v>
      </c>
    </row>
    <row r="5" spans="2:4" ht="34.200000000000003" customHeight="1" x14ac:dyDescent="0.3">
      <c r="B5" s="986" t="s">
        <v>601</v>
      </c>
      <c r="C5" s="983">
        <v>173</v>
      </c>
      <c r="D5" s="983">
        <v>2188</v>
      </c>
    </row>
    <row r="6" spans="2:4" ht="15" thickBot="1" x14ac:dyDescent="0.35">
      <c r="B6" s="987"/>
      <c r="C6" s="984"/>
      <c r="D6" s="984"/>
    </row>
    <row r="7" spans="2:4" x14ac:dyDescent="0.3">
      <c r="B7" s="573" t="s">
        <v>589</v>
      </c>
      <c r="C7" s="983">
        <v>430</v>
      </c>
      <c r="D7" s="983">
        <v>955</v>
      </c>
    </row>
    <row r="8" spans="2:4" ht="15" thickBot="1" x14ac:dyDescent="0.35">
      <c r="B8" s="575" t="s">
        <v>127</v>
      </c>
      <c r="C8" s="984"/>
      <c r="D8" s="984"/>
    </row>
    <row r="9" spans="2:4" ht="27.6" customHeight="1" x14ac:dyDescent="0.3">
      <c r="B9" s="573" t="s">
        <v>590</v>
      </c>
      <c r="C9" s="983">
        <v>36</v>
      </c>
      <c r="D9" s="983">
        <v>51</v>
      </c>
    </row>
    <row r="10" spans="2:4" ht="15" thickBot="1" x14ac:dyDescent="0.35">
      <c r="B10" s="575" t="s">
        <v>127</v>
      </c>
      <c r="C10" s="984"/>
      <c r="D10" s="984"/>
    </row>
    <row r="11" spans="2:4" ht="40.799999999999997" customHeight="1" thickBot="1" x14ac:dyDescent="0.35">
      <c r="B11" s="575" t="s">
        <v>591</v>
      </c>
      <c r="C11" s="576">
        <v>2</v>
      </c>
      <c r="D11" s="576">
        <v>48</v>
      </c>
    </row>
    <row r="12" spans="2:4" ht="40.799999999999997" customHeight="1" thickBot="1" x14ac:dyDescent="0.35">
      <c r="B12" s="575" t="s">
        <v>592</v>
      </c>
      <c r="C12" s="576">
        <v>472</v>
      </c>
      <c r="D12" s="576">
        <v>1171</v>
      </c>
    </row>
    <row r="13" spans="2:4" ht="22.2" customHeight="1" x14ac:dyDescent="0.3">
      <c r="B13" s="986" t="s">
        <v>602</v>
      </c>
      <c r="C13" s="983">
        <v>3</v>
      </c>
      <c r="D13" s="983">
        <v>101</v>
      </c>
    </row>
    <row r="14" spans="2:4" ht="21.6" customHeight="1" x14ac:dyDescent="0.3">
      <c r="B14" s="988"/>
      <c r="C14" s="985"/>
      <c r="D14" s="985"/>
    </row>
    <row r="15" spans="2:4" x14ac:dyDescent="0.3">
      <c r="B15" s="988"/>
      <c r="C15" s="985"/>
      <c r="D15" s="985"/>
    </row>
    <row r="16" spans="2:4" ht="15" thickBot="1" x14ac:dyDescent="0.35">
      <c r="B16" s="989"/>
      <c r="C16" s="984"/>
      <c r="D16" s="984"/>
    </row>
    <row r="17" spans="2:4" ht="28.8" x14ac:dyDescent="0.3">
      <c r="B17" s="573" t="s">
        <v>603</v>
      </c>
      <c r="C17" s="983">
        <v>3</v>
      </c>
      <c r="D17" s="983">
        <v>54</v>
      </c>
    </row>
    <row r="18" spans="2:4" ht="4.8" customHeight="1" thickBot="1" x14ac:dyDescent="0.35">
      <c r="B18" s="575"/>
      <c r="C18" s="984"/>
      <c r="D18" s="984"/>
    </row>
    <row r="19" spans="2:4" ht="28.8" x14ac:dyDescent="0.3">
      <c r="B19" s="573" t="s">
        <v>604</v>
      </c>
      <c r="C19" s="983">
        <v>484</v>
      </c>
      <c r="D19" s="983">
        <v>1918</v>
      </c>
    </row>
    <row r="20" spans="2:4" ht="15" thickBot="1" x14ac:dyDescent="0.35">
      <c r="B20" s="574"/>
      <c r="C20" s="984"/>
      <c r="D20" s="984"/>
    </row>
    <row r="21" spans="2:4" ht="16.8" customHeight="1" x14ac:dyDescent="0.3">
      <c r="B21" s="573" t="s">
        <v>593</v>
      </c>
      <c r="C21" s="983">
        <v>6</v>
      </c>
      <c r="D21" s="983">
        <v>6759</v>
      </c>
    </row>
    <row r="22" spans="2:4" ht="15" thickBot="1" x14ac:dyDescent="0.35">
      <c r="B22" s="575" t="s">
        <v>127</v>
      </c>
      <c r="C22" s="984"/>
      <c r="D22" s="984"/>
    </row>
    <row r="23" spans="2:4" x14ac:dyDescent="0.3">
      <c r="B23" s="986" t="s">
        <v>605</v>
      </c>
      <c r="C23" s="983">
        <v>314</v>
      </c>
      <c r="D23" s="983">
        <v>1779</v>
      </c>
    </row>
    <row r="24" spans="2:4" x14ac:dyDescent="0.3">
      <c r="B24" s="988"/>
      <c r="C24" s="985"/>
      <c r="D24" s="985"/>
    </row>
    <row r="25" spans="2:4" ht="15" thickBot="1" x14ac:dyDescent="0.35">
      <c r="B25" s="989"/>
      <c r="C25" s="984"/>
      <c r="D25" s="984"/>
    </row>
    <row r="26" spans="2:4" x14ac:dyDescent="0.3">
      <c r="B26" s="573" t="s">
        <v>594</v>
      </c>
      <c r="C26" s="983">
        <v>25</v>
      </c>
      <c r="D26" s="983">
        <v>22613</v>
      </c>
    </row>
    <row r="27" spans="2:4" ht="5.4" customHeight="1" thickBot="1" x14ac:dyDescent="0.35">
      <c r="B27" s="575" t="s">
        <v>127</v>
      </c>
      <c r="C27" s="984"/>
      <c r="D27" s="984"/>
    </row>
    <row r="28" spans="2:4" x14ac:dyDescent="0.3">
      <c r="B28" s="573" t="s">
        <v>595</v>
      </c>
      <c r="C28" s="983">
        <v>32</v>
      </c>
      <c r="D28" s="983">
        <v>1350</v>
      </c>
    </row>
    <row r="29" spans="2:4" ht="5.4" customHeight="1" thickBot="1" x14ac:dyDescent="0.35">
      <c r="B29" s="575" t="s">
        <v>127</v>
      </c>
      <c r="C29" s="984"/>
      <c r="D29" s="984"/>
    </row>
    <row r="30" spans="2:4" ht="18" customHeight="1" x14ac:dyDescent="0.3">
      <c r="B30" s="573" t="s">
        <v>596</v>
      </c>
      <c r="C30" s="983">
        <v>16</v>
      </c>
      <c r="D30" s="983">
        <v>34</v>
      </c>
    </row>
    <row r="31" spans="2:4" ht="6" customHeight="1" thickBot="1" x14ac:dyDescent="0.35">
      <c r="B31" s="575" t="s">
        <v>127</v>
      </c>
      <c r="C31" s="984"/>
      <c r="D31" s="984"/>
    </row>
    <row r="32" spans="2:4" ht="18.600000000000001" customHeight="1" x14ac:dyDescent="0.3">
      <c r="B32" s="573" t="s">
        <v>597</v>
      </c>
      <c r="C32" s="983">
        <v>16</v>
      </c>
      <c r="D32" s="983">
        <v>351</v>
      </c>
    </row>
    <row r="33" spans="2:4" ht="5.4" customHeight="1" thickBot="1" x14ac:dyDescent="0.35">
      <c r="B33" s="575" t="s">
        <v>127</v>
      </c>
      <c r="C33" s="984"/>
      <c r="D33" s="984"/>
    </row>
    <row r="34" spans="2:4" ht="18" customHeight="1" x14ac:dyDescent="0.3">
      <c r="B34" s="573" t="s">
        <v>598</v>
      </c>
      <c r="C34" s="983">
        <v>143</v>
      </c>
      <c r="D34" s="983">
        <v>4975</v>
      </c>
    </row>
    <row r="35" spans="2:4" ht="9.6" customHeight="1" thickBot="1" x14ac:dyDescent="0.35">
      <c r="B35" s="575" t="s">
        <v>127</v>
      </c>
      <c r="C35" s="984"/>
      <c r="D35" s="984"/>
    </row>
    <row r="36" spans="2:4" ht="23.4" customHeight="1" thickBot="1" x14ac:dyDescent="0.35">
      <c r="B36" s="575" t="s">
        <v>599</v>
      </c>
      <c r="C36" s="576">
        <v>318</v>
      </c>
      <c r="D36" s="576">
        <v>9505</v>
      </c>
    </row>
    <row r="37" spans="2:4" ht="15" thickBot="1" x14ac:dyDescent="0.35">
      <c r="B37" s="577" t="s">
        <v>600</v>
      </c>
      <c r="C37" s="578">
        <v>2473</v>
      </c>
      <c r="D37" s="578">
        <v>53852</v>
      </c>
    </row>
  </sheetData>
  <mergeCells count="29">
    <mergeCell ref="C34:C35"/>
    <mergeCell ref="D34:D35"/>
    <mergeCell ref="B5:B6"/>
    <mergeCell ref="B13:B16"/>
    <mergeCell ref="B23:B25"/>
    <mergeCell ref="C28:C29"/>
    <mergeCell ref="D28:D29"/>
    <mergeCell ref="C30:C31"/>
    <mergeCell ref="D30:D31"/>
    <mergeCell ref="C32:C33"/>
    <mergeCell ref="D32:D33"/>
    <mergeCell ref="C21:C22"/>
    <mergeCell ref="D21:D22"/>
    <mergeCell ref="C23:C25"/>
    <mergeCell ref="D23:D25"/>
    <mergeCell ref="C26:C27"/>
    <mergeCell ref="D26:D27"/>
    <mergeCell ref="C13:C16"/>
    <mergeCell ref="D13:D16"/>
    <mergeCell ref="C17:C18"/>
    <mergeCell ref="D17:D18"/>
    <mergeCell ref="C19:C20"/>
    <mergeCell ref="D19:D20"/>
    <mergeCell ref="C5:C6"/>
    <mergeCell ref="D5:D6"/>
    <mergeCell ref="C7:C8"/>
    <mergeCell ref="D7:D8"/>
    <mergeCell ref="C9:C10"/>
    <mergeCell ref="D9:D10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AD3E8-50B3-41BD-89AF-7BDE96FC79C2}">
  <sheetPr>
    <pageSetUpPr fitToPage="1"/>
  </sheetPr>
  <dimension ref="A1:AA44"/>
  <sheetViews>
    <sheetView topLeftCell="A16" zoomScaleNormal="100" workbookViewId="0">
      <selection activeCell="E46" sqref="E46"/>
    </sheetView>
  </sheetViews>
  <sheetFormatPr defaultRowHeight="14.4" x14ac:dyDescent="0.3"/>
  <cols>
    <col min="1" max="1" width="6.109375" customWidth="1"/>
    <col min="2" max="2" width="28.109375" customWidth="1"/>
    <col min="3" max="3" width="14.33203125" customWidth="1"/>
    <col min="4" max="4" width="15.5546875" customWidth="1"/>
    <col min="5" max="5" width="14.5546875" customWidth="1"/>
    <col min="6" max="6" width="16.5546875" customWidth="1"/>
    <col min="7" max="7" width="14.5546875" customWidth="1"/>
    <col min="8" max="8" width="13.44140625" customWidth="1"/>
    <col min="9" max="9" width="15.6640625" customWidth="1"/>
    <col min="10" max="10" width="12.88671875" customWidth="1"/>
    <col min="11" max="12" width="13.5546875" customWidth="1"/>
    <col min="13" max="13" width="13.44140625" bestFit="1" customWidth="1"/>
    <col min="14" max="14" width="17.109375" customWidth="1"/>
    <col min="15" max="15" width="16.109375" customWidth="1"/>
    <col min="16" max="16" width="13.6640625" style="32" customWidth="1"/>
    <col min="27" max="27" width="9.5546875" bestFit="1" customWidth="1"/>
    <col min="257" max="257" width="6.109375" customWidth="1"/>
    <col min="258" max="258" width="28.109375" customWidth="1"/>
    <col min="259" max="259" width="13.88671875" customWidth="1"/>
    <col min="260" max="260" width="14.5546875" customWidth="1"/>
    <col min="261" max="261" width="15.5546875" customWidth="1"/>
    <col min="262" max="262" width="14.5546875" customWidth="1"/>
    <col min="263" max="263" width="16.5546875" customWidth="1"/>
    <col min="264" max="264" width="14.5546875" customWidth="1"/>
    <col min="265" max="265" width="11.5546875" customWidth="1"/>
    <col min="266" max="266" width="12.88671875" customWidth="1"/>
    <col min="267" max="268" width="13.5546875" customWidth="1"/>
    <col min="269" max="269" width="13.44140625" bestFit="1" customWidth="1"/>
    <col min="513" max="513" width="6.109375" customWidth="1"/>
    <col min="514" max="514" width="28.109375" customWidth="1"/>
    <col min="515" max="515" width="13.88671875" customWidth="1"/>
    <col min="516" max="516" width="14.5546875" customWidth="1"/>
    <col min="517" max="517" width="15.5546875" customWidth="1"/>
    <col min="518" max="518" width="14.5546875" customWidth="1"/>
    <col min="519" max="519" width="16.5546875" customWidth="1"/>
    <col min="520" max="520" width="14.5546875" customWidth="1"/>
    <col min="521" max="521" width="11.5546875" customWidth="1"/>
    <col min="522" max="522" width="12.88671875" customWidth="1"/>
    <col min="523" max="524" width="13.5546875" customWidth="1"/>
    <col min="525" max="525" width="13.44140625" bestFit="1" customWidth="1"/>
    <col min="769" max="769" width="6.109375" customWidth="1"/>
    <col min="770" max="770" width="28.109375" customWidth="1"/>
    <col min="771" max="771" width="13.88671875" customWidth="1"/>
    <col min="772" max="772" width="14.5546875" customWidth="1"/>
    <col min="773" max="773" width="15.5546875" customWidth="1"/>
    <col min="774" max="774" width="14.5546875" customWidth="1"/>
    <col min="775" max="775" width="16.5546875" customWidth="1"/>
    <col min="776" max="776" width="14.5546875" customWidth="1"/>
    <col min="777" max="777" width="11.5546875" customWidth="1"/>
    <col min="778" max="778" width="12.88671875" customWidth="1"/>
    <col min="779" max="780" width="13.5546875" customWidth="1"/>
    <col min="781" max="781" width="13.44140625" bestFit="1" customWidth="1"/>
    <col min="1025" max="1025" width="6.109375" customWidth="1"/>
    <col min="1026" max="1026" width="28.109375" customWidth="1"/>
    <col min="1027" max="1027" width="13.88671875" customWidth="1"/>
    <col min="1028" max="1028" width="14.5546875" customWidth="1"/>
    <col min="1029" max="1029" width="15.5546875" customWidth="1"/>
    <col min="1030" max="1030" width="14.5546875" customWidth="1"/>
    <col min="1031" max="1031" width="16.5546875" customWidth="1"/>
    <col min="1032" max="1032" width="14.5546875" customWidth="1"/>
    <col min="1033" max="1033" width="11.5546875" customWidth="1"/>
    <col min="1034" max="1034" width="12.88671875" customWidth="1"/>
    <col min="1035" max="1036" width="13.5546875" customWidth="1"/>
    <col min="1037" max="1037" width="13.44140625" bestFit="1" customWidth="1"/>
    <col min="1281" max="1281" width="6.109375" customWidth="1"/>
    <col min="1282" max="1282" width="28.109375" customWidth="1"/>
    <col min="1283" max="1283" width="13.88671875" customWidth="1"/>
    <col min="1284" max="1284" width="14.5546875" customWidth="1"/>
    <col min="1285" max="1285" width="15.5546875" customWidth="1"/>
    <col min="1286" max="1286" width="14.5546875" customWidth="1"/>
    <col min="1287" max="1287" width="16.5546875" customWidth="1"/>
    <col min="1288" max="1288" width="14.5546875" customWidth="1"/>
    <col min="1289" max="1289" width="11.5546875" customWidth="1"/>
    <col min="1290" max="1290" width="12.88671875" customWidth="1"/>
    <col min="1291" max="1292" width="13.5546875" customWidth="1"/>
    <col min="1293" max="1293" width="13.44140625" bestFit="1" customWidth="1"/>
    <col min="1537" max="1537" width="6.109375" customWidth="1"/>
    <col min="1538" max="1538" width="28.109375" customWidth="1"/>
    <col min="1539" max="1539" width="13.88671875" customWidth="1"/>
    <col min="1540" max="1540" width="14.5546875" customWidth="1"/>
    <col min="1541" max="1541" width="15.5546875" customWidth="1"/>
    <col min="1542" max="1542" width="14.5546875" customWidth="1"/>
    <col min="1543" max="1543" width="16.5546875" customWidth="1"/>
    <col min="1544" max="1544" width="14.5546875" customWidth="1"/>
    <col min="1545" max="1545" width="11.5546875" customWidth="1"/>
    <col min="1546" max="1546" width="12.88671875" customWidth="1"/>
    <col min="1547" max="1548" width="13.5546875" customWidth="1"/>
    <col min="1549" max="1549" width="13.44140625" bestFit="1" customWidth="1"/>
    <col min="1793" max="1793" width="6.109375" customWidth="1"/>
    <col min="1794" max="1794" width="28.109375" customWidth="1"/>
    <col min="1795" max="1795" width="13.88671875" customWidth="1"/>
    <col min="1796" max="1796" width="14.5546875" customWidth="1"/>
    <col min="1797" max="1797" width="15.5546875" customWidth="1"/>
    <col min="1798" max="1798" width="14.5546875" customWidth="1"/>
    <col min="1799" max="1799" width="16.5546875" customWidth="1"/>
    <col min="1800" max="1800" width="14.5546875" customWidth="1"/>
    <col min="1801" max="1801" width="11.5546875" customWidth="1"/>
    <col min="1802" max="1802" width="12.88671875" customWidth="1"/>
    <col min="1803" max="1804" width="13.5546875" customWidth="1"/>
    <col min="1805" max="1805" width="13.44140625" bestFit="1" customWidth="1"/>
    <col min="2049" max="2049" width="6.109375" customWidth="1"/>
    <col min="2050" max="2050" width="28.109375" customWidth="1"/>
    <col min="2051" max="2051" width="13.88671875" customWidth="1"/>
    <col min="2052" max="2052" width="14.5546875" customWidth="1"/>
    <col min="2053" max="2053" width="15.5546875" customWidth="1"/>
    <col min="2054" max="2054" width="14.5546875" customWidth="1"/>
    <col min="2055" max="2055" width="16.5546875" customWidth="1"/>
    <col min="2056" max="2056" width="14.5546875" customWidth="1"/>
    <col min="2057" max="2057" width="11.5546875" customWidth="1"/>
    <col min="2058" max="2058" width="12.88671875" customWidth="1"/>
    <col min="2059" max="2060" width="13.5546875" customWidth="1"/>
    <col min="2061" max="2061" width="13.44140625" bestFit="1" customWidth="1"/>
    <col min="2305" max="2305" width="6.109375" customWidth="1"/>
    <col min="2306" max="2306" width="28.109375" customWidth="1"/>
    <col min="2307" max="2307" width="13.88671875" customWidth="1"/>
    <col min="2308" max="2308" width="14.5546875" customWidth="1"/>
    <col min="2309" max="2309" width="15.5546875" customWidth="1"/>
    <col min="2310" max="2310" width="14.5546875" customWidth="1"/>
    <col min="2311" max="2311" width="16.5546875" customWidth="1"/>
    <col min="2312" max="2312" width="14.5546875" customWidth="1"/>
    <col min="2313" max="2313" width="11.5546875" customWidth="1"/>
    <col min="2314" max="2314" width="12.88671875" customWidth="1"/>
    <col min="2315" max="2316" width="13.5546875" customWidth="1"/>
    <col min="2317" max="2317" width="13.44140625" bestFit="1" customWidth="1"/>
    <col min="2561" max="2561" width="6.109375" customWidth="1"/>
    <col min="2562" max="2562" width="28.109375" customWidth="1"/>
    <col min="2563" max="2563" width="13.88671875" customWidth="1"/>
    <col min="2564" max="2564" width="14.5546875" customWidth="1"/>
    <col min="2565" max="2565" width="15.5546875" customWidth="1"/>
    <col min="2566" max="2566" width="14.5546875" customWidth="1"/>
    <col min="2567" max="2567" width="16.5546875" customWidth="1"/>
    <col min="2568" max="2568" width="14.5546875" customWidth="1"/>
    <col min="2569" max="2569" width="11.5546875" customWidth="1"/>
    <col min="2570" max="2570" width="12.88671875" customWidth="1"/>
    <col min="2571" max="2572" width="13.5546875" customWidth="1"/>
    <col min="2573" max="2573" width="13.44140625" bestFit="1" customWidth="1"/>
    <col min="2817" max="2817" width="6.109375" customWidth="1"/>
    <col min="2818" max="2818" width="28.109375" customWidth="1"/>
    <col min="2819" max="2819" width="13.88671875" customWidth="1"/>
    <col min="2820" max="2820" width="14.5546875" customWidth="1"/>
    <col min="2821" max="2821" width="15.5546875" customWidth="1"/>
    <col min="2822" max="2822" width="14.5546875" customWidth="1"/>
    <col min="2823" max="2823" width="16.5546875" customWidth="1"/>
    <col min="2824" max="2824" width="14.5546875" customWidth="1"/>
    <col min="2825" max="2825" width="11.5546875" customWidth="1"/>
    <col min="2826" max="2826" width="12.88671875" customWidth="1"/>
    <col min="2827" max="2828" width="13.5546875" customWidth="1"/>
    <col min="2829" max="2829" width="13.44140625" bestFit="1" customWidth="1"/>
    <col min="3073" max="3073" width="6.109375" customWidth="1"/>
    <col min="3074" max="3074" width="28.109375" customWidth="1"/>
    <col min="3075" max="3075" width="13.88671875" customWidth="1"/>
    <col min="3076" max="3076" width="14.5546875" customWidth="1"/>
    <col min="3077" max="3077" width="15.5546875" customWidth="1"/>
    <col min="3078" max="3078" width="14.5546875" customWidth="1"/>
    <col min="3079" max="3079" width="16.5546875" customWidth="1"/>
    <col min="3080" max="3080" width="14.5546875" customWidth="1"/>
    <col min="3081" max="3081" width="11.5546875" customWidth="1"/>
    <col min="3082" max="3082" width="12.88671875" customWidth="1"/>
    <col min="3083" max="3084" width="13.5546875" customWidth="1"/>
    <col min="3085" max="3085" width="13.44140625" bestFit="1" customWidth="1"/>
    <col min="3329" max="3329" width="6.109375" customWidth="1"/>
    <col min="3330" max="3330" width="28.109375" customWidth="1"/>
    <col min="3331" max="3331" width="13.88671875" customWidth="1"/>
    <col min="3332" max="3332" width="14.5546875" customWidth="1"/>
    <col min="3333" max="3333" width="15.5546875" customWidth="1"/>
    <col min="3334" max="3334" width="14.5546875" customWidth="1"/>
    <col min="3335" max="3335" width="16.5546875" customWidth="1"/>
    <col min="3336" max="3336" width="14.5546875" customWidth="1"/>
    <col min="3337" max="3337" width="11.5546875" customWidth="1"/>
    <col min="3338" max="3338" width="12.88671875" customWidth="1"/>
    <col min="3339" max="3340" width="13.5546875" customWidth="1"/>
    <col min="3341" max="3341" width="13.44140625" bestFit="1" customWidth="1"/>
    <col min="3585" max="3585" width="6.109375" customWidth="1"/>
    <col min="3586" max="3586" width="28.109375" customWidth="1"/>
    <col min="3587" max="3587" width="13.88671875" customWidth="1"/>
    <col min="3588" max="3588" width="14.5546875" customWidth="1"/>
    <col min="3589" max="3589" width="15.5546875" customWidth="1"/>
    <col min="3590" max="3590" width="14.5546875" customWidth="1"/>
    <col min="3591" max="3591" width="16.5546875" customWidth="1"/>
    <col min="3592" max="3592" width="14.5546875" customWidth="1"/>
    <col min="3593" max="3593" width="11.5546875" customWidth="1"/>
    <col min="3594" max="3594" width="12.88671875" customWidth="1"/>
    <col min="3595" max="3596" width="13.5546875" customWidth="1"/>
    <col min="3597" max="3597" width="13.44140625" bestFit="1" customWidth="1"/>
    <col min="3841" max="3841" width="6.109375" customWidth="1"/>
    <col min="3842" max="3842" width="28.109375" customWidth="1"/>
    <col min="3843" max="3843" width="13.88671875" customWidth="1"/>
    <col min="3844" max="3844" width="14.5546875" customWidth="1"/>
    <col min="3845" max="3845" width="15.5546875" customWidth="1"/>
    <col min="3846" max="3846" width="14.5546875" customWidth="1"/>
    <col min="3847" max="3847" width="16.5546875" customWidth="1"/>
    <col min="3848" max="3848" width="14.5546875" customWidth="1"/>
    <col min="3849" max="3849" width="11.5546875" customWidth="1"/>
    <col min="3850" max="3850" width="12.88671875" customWidth="1"/>
    <col min="3851" max="3852" width="13.5546875" customWidth="1"/>
    <col min="3853" max="3853" width="13.44140625" bestFit="1" customWidth="1"/>
    <col min="4097" max="4097" width="6.109375" customWidth="1"/>
    <col min="4098" max="4098" width="28.109375" customWidth="1"/>
    <col min="4099" max="4099" width="13.88671875" customWidth="1"/>
    <col min="4100" max="4100" width="14.5546875" customWidth="1"/>
    <col min="4101" max="4101" width="15.5546875" customWidth="1"/>
    <col min="4102" max="4102" width="14.5546875" customWidth="1"/>
    <col min="4103" max="4103" width="16.5546875" customWidth="1"/>
    <col min="4104" max="4104" width="14.5546875" customWidth="1"/>
    <col min="4105" max="4105" width="11.5546875" customWidth="1"/>
    <col min="4106" max="4106" width="12.88671875" customWidth="1"/>
    <col min="4107" max="4108" width="13.5546875" customWidth="1"/>
    <col min="4109" max="4109" width="13.44140625" bestFit="1" customWidth="1"/>
    <col min="4353" max="4353" width="6.109375" customWidth="1"/>
    <col min="4354" max="4354" width="28.109375" customWidth="1"/>
    <col min="4355" max="4355" width="13.88671875" customWidth="1"/>
    <col min="4356" max="4356" width="14.5546875" customWidth="1"/>
    <col min="4357" max="4357" width="15.5546875" customWidth="1"/>
    <col min="4358" max="4358" width="14.5546875" customWidth="1"/>
    <col min="4359" max="4359" width="16.5546875" customWidth="1"/>
    <col min="4360" max="4360" width="14.5546875" customWidth="1"/>
    <col min="4361" max="4361" width="11.5546875" customWidth="1"/>
    <col min="4362" max="4362" width="12.88671875" customWidth="1"/>
    <col min="4363" max="4364" width="13.5546875" customWidth="1"/>
    <col min="4365" max="4365" width="13.44140625" bestFit="1" customWidth="1"/>
    <col min="4609" max="4609" width="6.109375" customWidth="1"/>
    <col min="4610" max="4610" width="28.109375" customWidth="1"/>
    <col min="4611" max="4611" width="13.88671875" customWidth="1"/>
    <col min="4612" max="4612" width="14.5546875" customWidth="1"/>
    <col min="4613" max="4613" width="15.5546875" customWidth="1"/>
    <col min="4614" max="4614" width="14.5546875" customWidth="1"/>
    <col min="4615" max="4615" width="16.5546875" customWidth="1"/>
    <col min="4616" max="4616" width="14.5546875" customWidth="1"/>
    <col min="4617" max="4617" width="11.5546875" customWidth="1"/>
    <col min="4618" max="4618" width="12.88671875" customWidth="1"/>
    <col min="4619" max="4620" width="13.5546875" customWidth="1"/>
    <col min="4621" max="4621" width="13.44140625" bestFit="1" customWidth="1"/>
    <col min="4865" max="4865" width="6.109375" customWidth="1"/>
    <col min="4866" max="4866" width="28.109375" customWidth="1"/>
    <col min="4867" max="4867" width="13.88671875" customWidth="1"/>
    <col min="4868" max="4868" width="14.5546875" customWidth="1"/>
    <col min="4869" max="4869" width="15.5546875" customWidth="1"/>
    <col min="4870" max="4870" width="14.5546875" customWidth="1"/>
    <col min="4871" max="4871" width="16.5546875" customWidth="1"/>
    <col min="4872" max="4872" width="14.5546875" customWidth="1"/>
    <col min="4873" max="4873" width="11.5546875" customWidth="1"/>
    <col min="4874" max="4874" width="12.88671875" customWidth="1"/>
    <col min="4875" max="4876" width="13.5546875" customWidth="1"/>
    <col min="4877" max="4877" width="13.44140625" bestFit="1" customWidth="1"/>
    <col min="5121" max="5121" width="6.109375" customWidth="1"/>
    <col min="5122" max="5122" width="28.109375" customWidth="1"/>
    <col min="5123" max="5123" width="13.88671875" customWidth="1"/>
    <col min="5124" max="5124" width="14.5546875" customWidth="1"/>
    <col min="5125" max="5125" width="15.5546875" customWidth="1"/>
    <col min="5126" max="5126" width="14.5546875" customWidth="1"/>
    <col min="5127" max="5127" width="16.5546875" customWidth="1"/>
    <col min="5128" max="5128" width="14.5546875" customWidth="1"/>
    <col min="5129" max="5129" width="11.5546875" customWidth="1"/>
    <col min="5130" max="5130" width="12.88671875" customWidth="1"/>
    <col min="5131" max="5132" width="13.5546875" customWidth="1"/>
    <col min="5133" max="5133" width="13.44140625" bestFit="1" customWidth="1"/>
    <col min="5377" max="5377" width="6.109375" customWidth="1"/>
    <col min="5378" max="5378" width="28.109375" customWidth="1"/>
    <col min="5379" max="5379" width="13.88671875" customWidth="1"/>
    <col min="5380" max="5380" width="14.5546875" customWidth="1"/>
    <col min="5381" max="5381" width="15.5546875" customWidth="1"/>
    <col min="5382" max="5382" width="14.5546875" customWidth="1"/>
    <col min="5383" max="5383" width="16.5546875" customWidth="1"/>
    <col min="5384" max="5384" width="14.5546875" customWidth="1"/>
    <col min="5385" max="5385" width="11.5546875" customWidth="1"/>
    <col min="5386" max="5386" width="12.88671875" customWidth="1"/>
    <col min="5387" max="5388" width="13.5546875" customWidth="1"/>
    <col min="5389" max="5389" width="13.44140625" bestFit="1" customWidth="1"/>
    <col min="5633" max="5633" width="6.109375" customWidth="1"/>
    <col min="5634" max="5634" width="28.109375" customWidth="1"/>
    <col min="5635" max="5635" width="13.88671875" customWidth="1"/>
    <col min="5636" max="5636" width="14.5546875" customWidth="1"/>
    <col min="5637" max="5637" width="15.5546875" customWidth="1"/>
    <col min="5638" max="5638" width="14.5546875" customWidth="1"/>
    <col min="5639" max="5639" width="16.5546875" customWidth="1"/>
    <col min="5640" max="5640" width="14.5546875" customWidth="1"/>
    <col min="5641" max="5641" width="11.5546875" customWidth="1"/>
    <col min="5642" max="5642" width="12.88671875" customWidth="1"/>
    <col min="5643" max="5644" width="13.5546875" customWidth="1"/>
    <col min="5645" max="5645" width="13.44140625" bestFit="1" customWidth="1"/>
    <col min="5889" max="5889" width="6.109375" customWidth="1"/>
    <col min="5890" max="5890" width="28.109375" customWidth="1"/>
    <col min="5891" max="5891" width="13.88671875" customWidth="1"/>
    <col min="5892" max="5892" width="14.5546875" customWidth="1"/>
    <col min="5893" max="5893" width="15.5546875" customWidth="1"/>
    <col min="5894" max="5894" width="14.5546875" customWidth="1"/>
    <col min="5895" max="5895" width="16.5546875" customWidth="1"/>
    <col min="5896" max="5896" width="14.5546875" customWidth="1"/>
    <col min="5897" max="5897" width="11.5546875" customWidth="1"/>
    <col min="5898" max="5898" width="12.88671875" customWidth="1"/>
    <col min="5899" max="5900" width="13.5546875" customWidth="1"/>
    <col min="5901" max="5901" width="13.44140625" bestFit="1" customWidth="1"/>
    <col min="6145" max="6145" width="6.109375" customWidth="1"/>
    <col min="6146" max="6146" width="28.109375" customWidth="1"/>
    <col min="6147" max="6147" width="13.88671875" customWidth="1"/>
    <col min="6148" max="6148" width="14.5546875" customWidth="1"/>
    <col min="6149" max="6149" width="15.5546875" customWidth="1"/>
    <col min="6150" max="6150" width="14.5546875" customWidth="1"/>
    <col min="6151" max="6151" width="16.5546875" customWidth="1"/>
    <col min="6152" max="6152" width="14.5546875" customWidth="1"/>
    <col min="6153" max="6153" width="11.5546875" customWidth="1"/>
    <col min="6154" max="6154" width="12.88671875" customWidth="1"/>
    <col min="6155" max="6156" width="13.5546875" customWidth="1"/>
    <col min="6157" max="6157" width="13.44140625" bestFit="1" customWidth="1"/>
    <col min="6401" max="6401" width="6.109375" customWidth="1"/>
    <col min="6402" max="6402" width="28.109375" customWidth="1"/>
    <col min="6403" max="6403" width="13.88671875" customWidth="1"/>
    <col min="6404" max="6404" width="14.5546875" customWidth="1"/>
    <col min="6405" max="6405" width="15.5546875" customWidth="1"/>
    <col min="6406" max="6406" width="14.5546875" customWidth="1"/>
    <col min="6407" max="6407" width="16.5546875" customWidth="1"/>
    <col min="6408" max="6408" width="14.5546875" customWidth="1"/>
    <col min="6409" max="6409" width="11.5546875" customWidth="1"/>
    <col min="6410" max="6410" width="12.88671875" customWidth="1"/>
    <col min="6411" max="6412" width="13.5546875" customWidth="1"/>
    <col min="6413" max="6413" width="13.44140625" bestFit="1" customWidth="1"/>
    <col min="6657" max="6657" width="6.109375" customWidth="1"/>
    <col min="6658" max="6658" width="28.109375" customWidth="1"/>
    <col min="6659" max="6659" width="13.88671875" customWidth="1"/>
    <col min="6660" max="6660" width="14.5546875" customWidth="1"/>
    <col min="6661" max="6661" width="15.5546875" customWidth="1"/>
    <col min="6662" max="6662" width="14.5546875" customWidth="1"/>
    <col min="6663" max="6663" width="16.5546875" customWidth="1"/>
    <col min="6664" max="6664" width="14.5546875" customWidth="1"/>
    <col min="6665" max="6665" width="11.5546875" customWidth="1"/>
    <col min="6666" max="6666" width="12.88671875" customWidth="1"/>
    <col min="6667" max="6668" width="13.5546875" customWidth="1"/>
    <col min="6669" max="6669" width="13.44140625" bestFit="1" customWidth="1"/>
    <col min="6913" max="6913" width="6.109375" customWidth="1"/>
    <col min="6914" max="6914" width="28.109375" customWidth="1"/>
    <col min="6915" max="6915" width="13.88671875" customWidth="1"/>
    <col min="6916" max="6916" width="14.5546875" customWidth="1"/>
    <col min="6917" max="6917" width="15.5546875" customWidth="1"/>
    <col min="6918" max="6918" width="14.5546875" customWidth="1"/>
    <col min="6919" max="6919" width="16.5546875" customWidth="1"/>
    <col min="6920" max="6920" width="14.5546875" customWidth="1"/>
    <col min="6921" max="6921" width="11.5546875" customWidth="1"/>
    <col min="6922" max="6922" width="12.88671875" customWidth="1"/>
    <col min="6923" max="6924" width="13.5546875" customWidth="1"/>
    <col min="6925" max="6925" width="13.44140625" bestFit="1" customWidth="1"/>
    <col min="7169" max="7169" width="6.109375" customWidth="1"/>
    <col min="7170" max="7170" width="28.109375" customWidth="1"/>
    <col min="7171" max="7171" width="13.88671875" customWidth="1"/>
    <col min="7172" max="7172" width="14.5546875" customWidth="1"/>
    <col min="7173" max="7173" width="15.5546875" customWidth="1"/>
    <col min="7174" max="7174" width="14.5546875" customWidth="1"/>
    <col min="7175" max="7175" width="16.5546875" customWidth="1"/>
    <col min="7176" max="7176" width="14.5546875" customWidth="1"/>
    <col min="7177" max="7177" width="11.5546875" customWidth="1"/>
    <col min="7178" max="7178" width="12.88671875" customWidth="1"/>
    <col min="7179" max="7180" width="13.5546875" customWidth="1"/>
    <col min="7181" max="7181" width="13.44140625" bestFit="1" customWidth="1"/>
    <col min="7425" max="7425" width="6.109375" customWidth="1"/>
    <col min="7426" max="7426" width="28.109375" customWidth="1"/>
    <col min="7427" max="7427" width="13.88671875" customWidth="1"/>
    <col min="7428" max="7428" width="14.5546875" customWidth="1"/>
    <col min="7429" max="7429" width="15.5546875" customWidth="1"/>
    <col min="7430" max="7430" width="14.5546875" customWidth="1"/>
    <col min="7431" max="7431" width="16.5546875" customWidth="1"/>
    <col min="7432" max="7432" width="14.5546875" customWidth="1"/>
    <col min="7433" max="7433" width="11.5546875" customWidth="1"/>
    <col min="7434" max="7434" width="12.88671875" customWidth="1"/>
    <col min="7435" max="7436" width="13.5546875" customWidth="1"/>
    <col min="7437" max="7437" width="13.44140625" bestFit="1" customWidth="1"/>
    <col min="7681" max="7681" width="6.109375" customWidth="1"/>
    <col min="7682" max="7682" width="28.109375" customWidth="1"/>
    <col min="7683" max="7683" width="13.88671875" customWidth="1"/>
    <col min="7684" max="7684" width="14.5546875" customWidth="1"/>
    <col min="7685" max="7685" width="15.5546875" customWidth="1"/>
    <col min="7686" max="7686" width="14.5546875" customWidth="1"/>
    <col min="7687" max="7687" width="16.5546875" customWidth="1"/>
    <col min="7688" max="7688" width="14.5546875" customWidth="1"/>
    <col min="7689" max="7689" width="11.5546875" customWidth="1"/>
    <col min="7690" max="7690" width="12.88671875" customWidth="1"/>
    <col min="7691" max="7692" width="13.5546875" customWidth="1"/>
    <col min="7693" max="7693" width="13.44140625" bestFit="1" customWidth="1"/>
    <col min="7937" max="7937" width="6.109375" customWidth="1"/>
    <col min="7938" max="7938" width="28.109375" customWidth="1"/>
    <col min="7939" max="7939" width="13.88671875" customWidth="1"/>
    <col min="7940" max="7940" width="14.5546875" customWidth="1"/>
    <col min="7941" max="7941" width="15.5546875" customWidth="1"/>
    <col min="7942" max="7942" width="14.5546875" customWidth="1"/>
    <col min="7943" max="7943" width="16.5546875" customWidth="1"/>
    <col min="7944" max="7944" width="14.5546875" customWidth="1"/>
    <col min="7945" max="7945" width="11.5546875" customWidth="1"/>
    <col min="7946" max="7946" width="12.88671875" customWidth="1"/>
    <col min="7947" max="7948" width="13.5546875" customWidth="1"/>
    <col min="7949" max="7949" width="13.44140625" bestFit="1" customWidth="1"/>
    <col min="8193" max="8193" width="6.109375" customWidth="1"/>
    <col min="8194" max="8194" width="28.109375" customWidth="1"/>
    <col min="8195" max="8195" width="13.88671875" customWidth="1"/>
    <col min="8196" max="8196" width="14.5546875" customWidth="1"/>
    <col min="8197" max="8197" width="15.5546875" customWidth="1"/>
    <col min="8198" max="8198" width="14.5546875" customWidth="1"/>
    <col min="8199" max="8199" width="16.5546875" customWidth="1"/>
    <col min="8200" max="8200" width="14.5546875" customWidth="1"/>
    <col min="8201" max="8201" width="11.5546875" customWidth="1"/>
    <col min="8202" max="8202" width="12.88671875" customWidth="1"/>
    <col min="8203" max="8204" width="13.5546875" customWidth="1"/>
    <col min="8205" max="8205" width="13.44140625" bestFit="1" customWidth="1"/>
    <col min="8449" max="8449" width="6.109375" customWidth="1"/>
    <col min="8450" max="8450" width="28.109375" customWidth="1"/>
    <col min="8451" max="8451" width="13.88671875" customWidth="1"/>
    <col min="8452" max="8452" width="14.5546875" customWidth="1"/>
    <col min="8453" max="8453" width="15.5546875" customWidth="1"/>
    <col min="8454" max="8454" width="14.5546875" customWidth="1"/>
    <col min="8455" max="8455" width="16.5546875" customWidth="1"/>
    <col min="8456" max="8456" width="14.5546875" customWidth="1"/>
    <col min="8457" max="8457" width="11.5546875" customWidth="1"/>
    <col min="8458" max="8458" width="12.88671875" customWidth="1"/>
    <col min="8459" max="8460" width="13.5546875" customWidth="1"/>
    <col min="8461" max="8461" width="13.44140625" bestFit="1" customWidth="1"/>
    <col min="8705" max="8705" width="6.109375" customWidth="1"/>
    <col min="8706" max="8706" width="28.109375" customWidth="1"/>
    <col min="8707" max="8707" width="13.88671875" customWidth="1"/>
    <col min="8708" max="8708" width="14.5546875" customWidth="1"/>
    <col min="8709" max="8709" width="15.5546875" customWidth="1"/>
    <col min="8710" max="8710" width="14.5546875" customWidth="1"/>
    <col min="8711" max="8711" width="16.5546875" customWidth="1"/>
    <col min="8712" max="8712" width="14.5546875" customWidth="1"/>
    <col min="8713" max="8713" width="11.5546875" customWidth="1"/>
    <col min="8714" max="8714" width="12.88671875" customWidth="1"/>
    <col min="8715" max="8716" width="13.5546875" customWidth="1"/>
    <col min="8717" max="8717" width="13.44140625" bestFit="1" customWidth="1"/>
    <col min="8961" max="8961" width="6.109375" customWidth="1"/>
    <col min="8962" max="8962" width="28.109375" customWidth="1"/>
    <col min="8963" max="8963" width="13.88671875" customWidth="1"/>
    <col min="8964" max="8964" width="14.5546875" customWidth="1"/>
    <col min="8965" max="8965" width="15.5546875" customWidth="1"/>
    <col min="8966" max="8966" width="14.5546875" customWidth="1"/>
    <col min="8967" max="8967" width="16.5546875" customWidth="1"/>
    <col min="8968" max="8968" width="14.5546875" customWidth="1"/>
    <col min="8969" max="8969" width="11.5546875" customWidth="1"/>
    <col min="8970" max="8970" width="12.88671875" customWidth="1"/>
    <col min="8971" max="8972" width="13.5546875" customWidth="1"/>
    <col min="8973" max="8973" width="13.44140625" bestFit="1" customWidth="1"/>
    <col min="9217" max="9217" width="6.109375" customWidth="1"/>
    <col min="9218" max="9218" width="28.109375" customWidth="1"/>
    <col min="9219" max="9219" width="13.88671875" customWidth="1"/>
    <col min="9220" max="9220" width="14.5546875" customWidth="1"/>
    <col min="9221" max="9221" width="15.5546875" customWidth="1"/>
    <col min="9222" max="9222" width="14.5546875" customWidth="1"/>
    <col min="9223" max="9223" width="16.5546875" customWidth="1"/>
    <col min="9224" max="9224" width="14.5546875" customWidth="1"/>
    <col min="9225" max="9225" width="11.5546875" customWidth="1"/>
    <col min="9226" max="9226" width="12.88671875" customWidth="1"/>
    <col min="9227" max="9228" width="13.5546875" customWidth="1"/>
    <col min="9229" max="9229" width="13.44140625" bestFit="1" customWidth="1"/>
    <col min="9473" max="9473" width="6.109375" customWidth="1"/>
    <col min="9474" max="9474" width="28.109375" customWidth="1"/>
    <col min="9475" max="9475" width="13.88671875" customWidth="1"/>
    <col min="9476" max="9476" width="14.5546875" customWidth="1"/>
    <col min="9477" max="9477" width="15.5546875" customWidth="1"/>
    <col min="9478" max="9478" width="14.5546875" customWidth="1"/>
    <col min="9479" max="9479" width="16.5546875" customWidth="1"/>
    <col min="9480" max="9480" width="14.5546875" customWidth="1"/>
    <col min="9481" max="9481" width="11.5546875" customWidth="1"/>
    <col min="9482" max="9482" width="12.88671875" customWidth="1"/>
    <col min="9483" max="9484" width="13.5546875" customWidth="1"/>
    <col min="9485" max="9485" width="13.44140625" bestFit="1" customWidth="1"/>
    <col min="9729" max="9729" width="6.109375" customWidth="1"/>
    <col min="9730" max="9730" width="28.109375" customWidth="1"/>
    <col min="9731" max="9731" width="13.88671875" customWidth="1"/>
    <col min="9732" max="9732" width="14.5546875" customWidth="1"/>
    <col min="9733" max="9733" width="15.5546875" customWidth="1"/>
    <col min="9734" max="9734" width="14.5546875" customWidth="1"/>
    <col min="9735" max="9735" width="16.5546875" customWidth="1"/>
    <col min="9736" max="9736" width="14.5546875" customWidth="1"/>
    <col min="9737" max="9737" width="11.5546875" customWidth="1"/>
    <col min="9738" max="9738" width="12.88671875" customWidth="1"/>
    <col min="9739" max="9740" width="13.5546875" customWidth="1"/>
    <col min="9741" max="9741" width="13.44140625" bestFit="1" customWidth="1"/>
    <col min="9985" max="9985" width="6.109375" customWidth="1"/>
    <col min="9986" max="9986" width="28.109375" customWidth="1"/>
    <col min="9987" max="9987" width="13.88671875" customWidth="1"/>
    <col min="9988" max="9988" width="14.5546875" customWidth="1"/>
    <col min="9989" max="9989" width="15.5546875" customWidth="1"/>
    <col min="9990" max="9990" width="14.5546875" customWidth="1"/>
    <col min="9991" max="9991" width="16.5546875" customWidth="1"/>
    <col min="9992" max="9992" width="14.5546875" customWidth="1"/>
    <col min="9993" max="9993" width="11.5546875" customWidth="1"/>
    <col min="9994" max="9994" width="12.88671875" customWidth="1"/>
    <col min="9995" max="9996" width="13.5546875" customWidth="1"/>
    <col min="9997" max="9997" width="13.44140625" bestFit="1" customWidth="1"/>
    <col min="10241" max="10241" width="6.109375" customWidth="1"/>
    <col min="10242" max="10242" width="28.109375" customWidth="1"/>
    <col min="10243" max="10243" width="13.88671875" customWidth="1"/>
    <col min="10244" max="10244" width="14.5546875" customWidth="1"/>
    <col min="10245" max="10245" width="15.5546875" customWidth="1"/>
    <col min="10246" max="10246" width="14.5546875" customWidth="1"/>
    <col min="10247" max="10247" width="16.5546875" customWidth="1"/>
    <col min="10248" max="10248" width="14.5546875" customWidth="1"/>
    <col min="10249" max="10249" width="11.5546875" customWidth="1"/>
    <col min="10250" max="10250" width="12.88671875" customWidth="1"/>
    <col min="10251" max="10252" width="13.5546875" customWidth="1"/>
    <col min="10253" max="10253" width="13.44140625" bestFit="1" customWidth="1"/>
    <col min="10497" max="10497" width="6.109375" customWidth="1"/>
    <col min="10498" max="10498" width="28.109375" customWidth="1"/>
    <col min="10499" max="10499" width="13.88671875" customWidth="1"/>
    <col min="10500" max="10500" width="14.5546875" customWidth="1"/>
    <col min="10501" max="10501" width="15.5546875" customWidth="1"/>
    <col min="10502" max="10502" width="14.5546875" customWidth="1"/>
    <col min="10503" max="10503" width="16.5546875" customWidth="1"/>
    <col min="10504" max="10504" width="14.5546875" customWidth="1"/>
    <col min="10505" max="10505" width="11.5546875" customWidth="1"/>
    <col min="10506" max="10506" width="12.88671875" customWidth="1"/>
    <col min="10507" max="10508" width="13.5546875" customWidth="1"/>
    <col min="10509" max="10509" width="13.44140625" bestFit="1" customWidth="1"/>
    <col min="10753" max="10753" width="6.109375" customWidth="1"/>
    <col min="10754" max="10754" width="28.109375" customWidth="1"/>
    <col min="10755" max="10755" width="13.88671875" customWidth="1"/>
    <col min="10756" max="10756" width="14.5546875" customWidth="1"/>
    <col min="10757" max="10757" width="15.5546875" customWidth="1"/>
    <col min="10758" max="10758" width="14.5546875" customWidth="1"/>
    <col min="10759" max="10759" width="16.5546875" customWidth="1"/>
    <col min="10760" max="10760" width="14.5546875" customWidth="1"/>
    <col min="10761" max="10761" width="11.5546875" customWidth="1"/>
    <col min="10762" max="10762" width="12.88671875" customWidth="1"/>
    <col min="10763" max="10764" width="13.5546875" customWidth="1"/>
    <col min="10765" max="10765" width="13.44140625" bestFit="1" customWidth="1"/>
    <col min="11009" max="11009" width="6.109375" customWidth="1"/>
    <col min="11010" max="11010" width="28.109375" customWidth="1"/>
    <col min="11011" max="11011" width="13.88671875" customWidth="1"/>
    <col min="11012" max="11012" width="14.5546875" customWidth="1"/>
    <col min="11013" max="11013" width="15.5546875" customWidth="1"/>
    <col min="11014" max="11014" width="14.5546875" customWidth="1"/>
    <col min="11015" max="11015" width="16.5546875" customWidth="1"/>
    <col min="11016" max="11016" width="14.5546875" customWidth="1"/>
    <col min="11017" max="11017" width="11.5546875" customWidth="1"/>
    <col min="11018" max="11018" width="12.88671875" customWidth="1"/>
    <col min="11019" max="11020" width="13.5546875" customWidth="1"/>
    <col min="11021" max="11021" width="13.44140625" bestFit="1" customWidth="1"/>
    <col min="11265" max="11265" width="6.109375" customWidth="1"/>
    <col min="11266" max="11266" width="28.109375" customWidth="1"/>
    <col min="11267" max="11267" width="13.88671875" customWidth="1"/>
    <col min="11268" max="11268" width="14.5546875" customWidth="1"/>
    <col min="11269" max="11269" width="15.5546875" customWidth="1"/>
    <col min="11270" max="11270" width="14.5546875" customWidth="1"/>
    <col min="11271" max="11271" width="16.5546875" customWidth="1"/>
    <col min="11272" max="11272" width="14.5546875" customWidth="1"/>
    <col min="11273" max="11273" width="11.5546875" customWidth="1"/>
    <col min="11274" max="11274" width="12.88671875" customWidth="1"/>
    <col min="11275" max="11276" width="13.5546875" customWidth="1"/>
    <col min="11277" max="11277" width="13.44140625" bestFit="1" customWidth="1"/>
    <col min="11521" max="11521" width="6.109375" customWidth="1"/>
    <col min="11522" max="11522" width="28.109375" customWidth="1"/>
    <col min="11523" max="11523" width="13.88671875" customWidth="1"/>
    <col min="11524" max="11524" width="14.5546875" customWidth="1"/>
    <col min="11525" max="11525" width="15.5546875" customWidth="1"/>
    <col min="11526" max="11526" width="14.5546875" customWidth="1"/>
    <col min="11527" max="11527" width="16.5546875" customWidth="1"/>
    <col min="11528" max="11528" width="14.5546875" customWidth="1"/>
    <col min="11529" max="11529" width="11.5546875" customWidth="1"/>
    <col min="11530" max="11530" width="12.88671875" customWidth="1"/>
    <col min="11531" max="11532" width="13.5546875" customWidth="1"/>
    <col min="11533" max="11533" width="13.44140625" bestFit="1" customWidth="1"/>
    <col min="11777" max="11777" width="6.109375" customWidth="1"/>
    <col min="11778" max="11778" width="28.109375" customWidth="1"/>
    <col min="11779" max="11779" width="13.88671875" customWidth="1"/>
    <col min="11780" max="11780" width="14.5546875" customWidth="1"/>
    <col min="11781" max="11781" width="15.5546875" customWidth="1"/>
    <col min="11782" max="11782" width="14.5546875" customWidth="1"/>
    <col min="11783" max="11783" width="16.5546875" customWidth="1"/>
    <col min="11784" max="11784" width="14.5546875" customWidth="1"/>
    <col min="11785" max="11785" width="11.5546875" customWidth="1"/>
    <col min="11786" max="11786" width="12.88671875" customWidth="1"/>
    <col min="11787" max="11788" width="13.5546875" customWidth="1"/>
    <col min="11789" max="11789" width="13.44140625" bestFit="1" customWidth="1"/>
    <col min="12033" max="12033" width="6.109375" customWidth="1"/>
    <col min="12034" max="12034" width="28.109375" customWidth="1"/>
    <col min="12035" max="12035" width="13.88671875" customWidth="1"/>
    <col min="12036" max="12036" width="14.5546875" customWidth="1"/>
    <col min="12037" max="12037" width="15.5546875" customWidth="1"/>
    <col min="12038" max="12038" width="14.5546875" customWidth="1"/>
    <col min="12039" max="12039" width="16.5546875" customWidth="1"/>
    <col min="12040" max="12040" width="14.5546875" customWidth="1"/>
    <col min="12041" max="12041" width="11.5546875" customWidth="1"/>
    <col min="12042" max="12042" width="12.88671875" customWidth="1"/>
    <col min="12043" max="12044" width="13.5546875" customWidth="1"/>
    <col min="12045" max="12045" width="13.44140625" bestFit="1" customWidth="1"/>
    <col min="12289" max="12289" width="6.109375" customWidth="1"/>
    <col min="12290" max="12290" width="28.109375" customWidth="1"/>
    <col min="12291" max="12291" width="13.88671875" customWidth="1"/>
    <col min="12292" max="12292" width="14.5546875" customWidth="1"/>
    <col min="12293" max="12293" width="15.5546875" customWidth="1"/>
    <col min="12294" max="12294" width="14.5546875" customWidth="1"/>
    <col min="12295" max="12295" width="16.5546875" customWidth="1"/>
    <col min="12296" max="12296" width="14.5546875" customWidth="1"/>
    <col min="12297" max="12297" width="11.5546875" customWidth="1"/>
    <col min="12298" max="12298" width="12.88671875" customWidth="1"/>
    <col min="12299" max="12300" width="13.5546875" customWidth="1"/>
    <col min="12301" max="12301" width="13.44140625" bestFit="1" customWidth="1"/>
    <col min="12545" max="12545" width="6.109375" customWidth="1"/>
    <col min="12546" max="12546" width="28.109375" customWidth="1"/>
    <col min="12547" max="12547" width="13.88671875" customWidth="1"/>
    <col min="12548" max="12548" width="14.5546875" customWidth="1"/>
    <col min="12549" max="12549" width="15.5546875" customWidth="1"/>
    <col min="12550" max="12550" width="14.5546875" customWidth="1"/>
    <col min="12551" max="12551" width="16.5546875" customWidth="1"/>
    <col min="12552" max="12552" width="14.5546875" customWidth="1"/>
    <col min="12553" max="12553" width="11.5546875" customWidth="1"/>
    <col min="12554" max="12554" width="12.88671875" customWidth="1"/>
    <col min="12555" max="12556" width="13.5546875" customWidth="1"/>
    <col min="12557" max="12557" width="13.44140625" bestFit="1" customWidth="1"/>
    <col min="12801" max="12801" width="6.109375" customWidth="1"/>
    <col min="12802" max="12802" width="28.109375" customWidth="1"/>
    <col min="12803" max="12803" width="13.88671875" customWidth="1"/>
    <col min="12804" max="12804" width="14.5546875" customWidth="1"/>
    <col min="12805" max="12805" width="15.5546875" customWidth="1"/>
    <col min="12806" max="12806" width="14.5546875" customWidth="1"/>
    <col min="12807" max="12807" width="16.5546875" customWidth="1"/>
    <col min="12808" max="12808" width="14.5546875" customWidth="1"/>
    <col min="12809" max="12809" width="11.5546875" customWidth="1"/>
    <col min="12810" max="12810" width="12.88671875" customWidth="1"/>
    <col min="12811" max="12812" width="13.5546875" customWidth="1"/>
    <col min="12813" max="12813" width="13.44140625" bestFit="1" customWidth="1"/>
    <col min="13057" max="13057" width="6.109375" customWidth="1"/>
    <col min="13058" max="13058" width="28.109375" customWidth="1"/>
    <col min="13059" max="13059" width="13.88671875" customWidth="1"/>
    <col min="13060" max="13060" width="14.5546875" customWidth="1"/>
    <col min="13061" max="13061" width="15.5546875" customWidth="1"/>
    <col min="13062" max="13062" width="14.5546875" customWidth="1"/>
    <col min="13063" max="13063" width="16.5546875" customWidth="1"/>
    <col min="13064" max="13064" width="14.5546875" customWidth="1"/>
    <col min="13065" max="13065" width="11.5546875" customWidth="1"/>
    <col min="13066" max="13066" width="12.88671875" customWidth="1"/>
    <col min="13067" max="13068" width="13.5546875" customWidth="1"/>
    <col min="13069" max="13069" width="13.44140625" bestFit="1" customWidth="1"/>
    <col min="13313" max="13313" width="6.109375" customWidth="1"/>
    <col min="13314" max="13314" width="28.109375" customWidth="1"/>
    <col min="13315" max="13315" width="13.88671875" customWidth="1"/>
    <col min="13316" max="13316" width="14.5546875" customWidth="1"/>
    <col min="13317" max="13317" width="15.5546875" customWidth="1"/>
    <col min="13318" max="13318" width="14.5546875" customWidth="1"/>
    <col min="13319" max="13319" width="16.5546875" customWidth="1"/>
    <col min="13320" max="13320" width="14.5546875" customWidth="1"/>
    <col min="13321" max="13321" width="11.5546875" customWidth="1"/>
    <col min="13322" max="13322" width="12.88671875" customWidth="1"/>
    <col min="13323" max="13324" width="13.5546875" customWidth="1"/>
    <col min="13325" max="13325" width="13.44140625" bestFit="1" customWidth="1"/>
    <col min="13569" max="13569" width="6.109375" customWidth="1"/>
    <col min="13570" max="13570" width="28.109375" customWidth="1"/>
    <col min="13571" max="13571" width="13.88671875" customWidth="1"/>
    <col min="13572" max="13572" width="14.5546875" customWidth="1"/>
    <col min="13573" max="13573" width="15.5546875" customWidth="1"/>
    <col min="13574" max="13574" width="14.5546875" customWidth="1"/>
    <col min="13575" max="13575" width="16.5546875" customWidth="1"/>
    <col min="13576" max="13576" width="14.5546875" customWidth="1"/>
    <col min="13577" max="13577" width="11.5546875" customWidth="1"/>
    <col min="13578" max="13578" width="12.88671875" customWidth="1"/>
    <col min="13579" max="13580" width="13.5546875" customWidth="1"/>
    <col min="13581" max="13581" width="13.44140625" bestFit="1" customWidth="1"/>
    <col min="13825" max="13825" width="6.109375" customWidth="1"/>
    <col min="13826" max="13826" width="28.109375" customWidth="1"/>
    <col min="13827" max="13827" width="13.88671875" customWidth="1"/>
    <col min="13828" max="13828" width="14.5546875" customWidth="1"/>
    <col min="13829" max="13829" width="15.5546875" customWidth="1"/>
    <col min="13830" max="13830" width="14.5546875" customWidth="1"/>
    <col min="13831" max="13831" width="16.5546875" customWidth="1"/>
    <col min="13832" max="13832" width="14.5546875" customWidth="1"/>
    <col min="13833" max="13833" width="11.5546875" customWidth="1"/>
    <col min="13834" max="13834" width="12.88671875" customWidth="1"/>
    <col min="13835" max="13836" width="13.5546875" customWidth="1"/>
    <col min="13837" max="13837" width="13.44140625" bestFit="1" customWidth="1"/>
    <col min="14081" max="14081" width="6.109375" customWidth="1"/>
    <col min="14082" max="14082" width="28.109375" customWidth="1"/>
    <col min="14083" max="14083" width="13.88671875" customWidth="1"/>
    <col min="14084" max="14084" width="14.5546875" customWidth="1"/>
    <col min="14085" max="14085" width="15.5546875" customWidth="1"/>
    <col min="14086" max="14086" width="14.5546875" customWidth="1"/>
    <col min="14087" max="14087" width="16.5546875" customWidth="1"/>
    <col min="14088" max="14088" width="14.5546875" customWidth="1"/>
    <col min="14089" max="14089" width="11.5546875" customWidth="1"/>
    <col min="14090" max="14090" width="12.88671875" customWidth="1"/>
    <col min="14091" max="14092" width="13.5546875" customWidth="1"/>
    <col min="14093" max="14093" width="13.44140625" bestFit="1" customWidth="1"/>
    <col min="14337" max="14337" width="6.109375" customWidth="1"/>
    <col min="14338" max="14338" width="28.109375" customWidth="1"/>
    <col min="14339" max="14339" width="13.88671875" customWidth="1"/>
    <col min="14340" max="14340" width="14.5546875" customWidth="1"/>
    <col min="14341" max="14341" width="15.5546875" customWidth="1"/>
    <col min="14342" max="14342" width="14.5546875" customWidth="1"/>
    <col min="14343" max="14343" width="16.5546875" customWidth="1"/>
    <col min="14344" max="14344" width="14.5546875" customWidth="1"/>
    <col min="14345" max="14345" width="11.5546875" customWidth="1"/>
    <col min="14346" max="14346" width="12.88671875" customWidth="1"/>
    <col min="14347" max="14348" width="13.5546875" customWidth="1"/>
    <col min="14349" max="14349" width="13.44140625" bestFit="1" customWidth="1"/>
    <col min="14593" max="14593" width="6.109375" customWidth="1"/>
    <col min="14594" max="14594" width="28.109375" customWidth="1"/>
    <col min="14595" max="14595" width="13.88671875" customWidth="1"/>
    <col min="14596" max="14596" width="14.5546875" customWidth="1"/>
    <col min="14597" max="14597" width="15.5546875" customWidth="1"/>
    <col min="14598" max="14598" width="14.5546875" customWidth="1"/>
    <col min="14599" max="14599" width="16.5546875" customWidth="1"/>
    <col min="14600" max="14600" width="14.5546875" customWidth="1"/>
    <col min="14601" max="14601" width="11.5546875" customWidth="1"/>
    <col min="14602" max="14602" width="12.88671875" customWidth="1"/>
    <col min="14603" max="14604" width="13.5546875" customWidth="1"/>
    <col min="14605" max="14605" width="13.44140625" bestFit="1" customWidth="1"/>
    <col min="14849" max="14849" width="6.109375" customWidth="1"/>
    <col min="14850" max="14850" width="28.109375" customWidth="1"/>
    <col min="14851" max="14851" width="13.88671875" customWidth="1"/>
    <col min="14852" max="14852" width="14.5546875" customWidth="1"/>
    <col min="14853" max="14853" width="15.5546875" customWidth="1"/>
    <col min="14854" max="14854" width="14.5546875" customWidth="1"/>
    <col min="14855" max="14855" width="16.5546875" customWidth="1"/>
    <col min="14856" max="14856" width="14.5546875" customWidth="1"/>
    <col min="14857" max="14857" width="11.5546875" customWidth="1"/>
    <col min="14858" max="14858" width="12.88671875" customWidth="1"/>
    <col min="14859" max="14860" width="13.5546875" customWidth="1"/>
    <col min="14861" max="14861" width="13.44140625" bestFit="1" customWidth="1"/>
    <col min="15105" max="15105" width="6.109375" customWidth="1"/>
    <col min="15106" max="15106" width="28.109375" customWidth="1"/>
    <col min="15107" max="15107" width="13.88671875" customWidth="1"/>
    <col min="15108" max="15108" width="14.5546875" customWidth="1"/>
    <col min="15109" max="15109" width="15.5546875" customWidth="1"/>
    <col min="15110" max="15110" width="14.5546875" customWidth="1"/>
    <col min="15111" max="15111" width="16.5546875" customWidth="1"/>
    <col min="15112" max="15112" width="14.5546875" customWidth="1"/>
    <col min="15113" max="15113" width="11.5546875" customWidth="1"/>
    <col min="15114" max="15114" width="12.88671875" customWidth="1"/>
    <col min="15115" max="15116" width="13.5546875" customWidth="1"/>
    <col min="15117" max="15117" width="13.44140625" bestFit="1" customWidth="1"/>
    <col min="15361" max="15361" width="6.109375" customWidth="1"/>
    <col min="15362" max="15362" width="28.109375" customWidth="1"/>
    <col min="15363" max="15363" width="13.88671875" customWidth="1"/>
    <col min="15364" max="15364" width="14.5546875" customWidth="1"/>
    <col min="15365" max="15365" width="15.5546875" customWidth="1"/>
    <col min="15366" max="15366" width="14.5546875" customWidth="1"/>
    <col min="15367" max="15367" width="16.5546875" customWidth="1"/>
    <col min="15368" max="15368" width="14.5546875" customWidth="1"/>
    <col min="15369" max="15369" width="11.5546875" customWidth="1"/>
    <col min="15370" max="15370" width="12.88671875" customWidth="1"/>
    <col min="15371" max="15372" width="13.5546875" customWidth="1"/>
    <col min="15373" max="15373" width="13.44140625" bestFit="1" customWidth="1"/>
    <col min="15617" max="15617" width="6.109375" customWidth="1"/>
    <col min="15618" max="15618" width="28.109375" customWidth="1"/>
    <col min="15619" max="15619" width="13.88671875" customWidth="1"/>
    <col min="15620" max="15620" width="14.5546875" customWidth="1"/>
    <col min="15621" max="15621" width="15.5546875" customWidth="1"/>
    <col min="15622" max="15622" width="14.5546875" customWidth="1"/>
    <col min="15623" max="15623" width="16.5546875" customWidth="1"/>
    <col min="15624" max="15624" width="14.5546875" customWidth="1"/>
    <col min="15625" max="15625" width="11.5546875" customWidth="1"/>
    <col min="15626" max="15626" width="12.88671875" customWidth="1"/>
    <col min="15627" max="15628" width="13.5546875" customWidth="1"/>
    <col min="15629" max="15629" width="13.44140625" bestFit="1" customWidth="1"/>
    <col min="15873" max="15873" width="6.109375" customWidth="1"/>
    <col min="15874" max="15874" width="28.109375" customWidth="1"/>
    <col min="15875" max="15875" width="13.88671875" customWidth="1"/>
    <col min="15876" max="15876" width="14.5546875" customWidth="1"/>
    <col min="15877" max="15877" width="15.5546875" customWidth="1"/>
    <col min="15878" max="15878" width="14.5546875" customWidth="1"/>
    <col min="15879" max="15879" width="16.5546875" customWidth="1"/>
    <col min="15880" max="15880" width="14.5546875" customWidth="1"/>
    <col min="15881" max="15881" width="11.5546875" customWidth="1"/>
    <col min="15882" max="15882" width="12.88671875" customWidth="1"/>
    <col min="15883" max="15884" width="13.5546875" customWidth="1"/>
    <col min="15885" max="15885" width="13.44140625" bestFit="1" customWidth="1"/>
    <col min="16129" max="16129" width="6.109375" customWidth="1"/>
    <col min="16130" max="16130" width="28.109375" customWidth="1"/>
    <col min="16131" max="16131" width="13.88671875" customWidth="1"/>
    <col min="16132" max="16132" width="14.5546875" customWidth="1"/>
    <col min="16133" max="16133" width="15.5546875" customWidth="1"/>
    <col min="16134" max="16134" width="14.5546875" customWidth="1"/>
    <col min="16135" max="16135" width="16.5546875" customWidth="1"/>
    <col min="16136" max="16136" width="14.5546875" customWidth="1"/>
    <col min="16137" max="16137" width="11.5546875" customWidth="1"/>
    <col min="16138" max="16138" width="12.88671875" customWidth="1"/>
    <col min="16139" max="16140" width="13.5546875" customWidth="1"/>
    <col min="16141" max="16141" width="13.44140625" bestFit="1" customWidth="1"/>
  </cols>
  <sheetData>
    <row r="1" spans="1:16" ht="18" x14ac:dyDescent="0.35">
      <c r="B1" s="29" t="s">
        <v>2293</v>
      </c>
      <c r="C1" s="809"/>
      <c r="D1" s="29"/>
    </row>
    <row r="2" spans="1:16" ht="18" x14ac:dyDescent="0.35">
      <c r="B2" s="299"/>
    </row>
    <row r="4" spans="1:16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1"/>
      <c r="L4" s="31"/>
      <c r="M4" s="30"/>
      <c r="N4" s="32"/>
    </row>
    <row r="5" spans="1:16" s="40" customFormat="1" x14ac:dyDescent="0.3">
      <c r="A5" s="33"/>
      <c r="B5" s="908" t="s">
        <v>236</v>
      </c>
      <c r="C5" s="34" t="s">
        <v>1</v>
      </c>
      <c r="D5" s="35" t="s">
        <v>2</v>
      </c>
      <c r="E5" s="36" t="s">
        <v>3</v>
      </c>
      <c r="F5" s="36" t="s">
        <v>4</v>
      </c>
      <c r="G5" s="36" t="s">
        <v>5</v>
      </c>
      <c r="H5" s="36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8"/>
      <c r="N5" s="39"/>
      <c r="P5" s="39"/>
    </row>
    <row r="6" spans="1:16" ht="91.35" customHeight="1" x14ac:dyDescent="0.3">
      <c r="A6" s="41" t="s">
        <v>189</v>
      </c>
      <c r="B6" s="909"/>
      <c r="C6" s="42" t="s">
        <v>190</v>
      </c>
      <c r="D6" s="36" t="s">
        <v>12</v>
      </c>
      <c r="E6" s="36" t="s">
        <v>13</v>
      </c>
      <c r="F6" s="36" t="s">
        <v>14</v>
      </c>
      <c r="G6" s="36" t="s">
        <v>15</v>
      </c>
      <c r="H6" s="36" t="s">
        <v>191</v>
      </c>
      <c r="I6" s="43" t="s">
        <v>17</v>
      </c>
      <c r="J6" s="43" t="s">
        <v>18</v>
      </c>
      <c r="K6" s="43" t="s">
        <v>19</v>
      </c>
      <c r="L6" s="43" t="s">
        <v>360</v>
      </c>
      <c r="M6" s="36" t="s">
        <v>193</v>
      </c>
      <c r="N6" s="32"/>
    </row>
    <row r="7" spans="1:16" s="40" customFormat="1" x14ac:dyDescent="0.3">
      <c r="A7" s="44"/>
      <c r="B7" s="123" t="s">
        <v>2294</v>
      </c>
      <c r="C7" s="90">
        <v>6517328.6599999992</v>
      </c>
      <c r="D7" s="90">
        <f>SUM(E7:L8)</f>
        <v>1597585</v>
      </c>
      <c r="E7" s="90">
        <v>49777</v>
      </c>
      <c r="F7" s="90">
        <v>355000</v>
      </c>
      <c r="G7" s="90">
        <v>373225</v>
      </c>
      <c r="H7" s="90">
        <v>24216</v>
      </c>
      <c r="I7" s="90">
        <v>52071</v>
      </c>
      <c r="J7" s="90">
        <v>8769</v>
      </c>
      <c r="K7" s="90">
        <v>415042</v>
      </c>
      <c r="L7" s="90">
        <v>319485</v>
      </c>
      <c r="M7" s="92">
        <v>106</v>
      </c>
      <c r="N7" s="39"/>
      <c r="P7" s="39"/>
    </row>
    <row r="8" spans="1:16" x14ac:dyDescent="0.3">
      <c r="A8" s="51"/>
      <c r="B8" s="52"/>
      <c r="C8" s="50"/>
      <c r="D8" s="49"/>
      <c r="E8" s="50"/>
      <c r="F8" s="50"/>
      <c r="G8" s="50"/>
      <c r="H8" s="50"/>
      <c r="I8" s="50"/>
      <c r="J8" s="50"/>
      <c r="K8" s="50"/>
      <c r="L8" s="50"/>
      <c r="M8" s="19"/>
      <c r="N8" s="32"/>
    </row>
    <row r="9" spans="1:16" x14ac:dyDescent="0.3">
      <c r="A9" s="30"/>
      <c r="B9" s="30"/>
      <c r="C9" s="30"/>
      <c r="D9" s="30"/>
      <c r="E9" s="30"/>
      <c r="F9" s="30"/>
      <c r="G9" s="30"/>
      <c r="H9" s="30"/>
      <c r="I9" s="30"/>
      <c r="J9" s="30"/>
      <c r="K9" s="31"/>
      <c r="L9" s="31"/>
      <c r="N9" s="32"/>
    </row>
    <row r="10" spans="1:16" x14ac:dyDescent="0.3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1"/>
      <c r="L10" s="31"/>
      <c r="M10" s="30"/>
      <c r="N10" s="32"/>
    </row>
    <row r="11" spans="1:16" x14ac:dyDescent="0.3">
      <c r="A11" s="30"/>
      <c r="B11" s="95" t="s">
        <v>197</v>
      </c>
      <c r="C11" s="30"/>
      <c r="D11" s="30"/>
      <c r="E11" s="30"/>
      <c r="F11" s="30"/>
      <c r="G11" s="30"/>
      <c r="H11" s="30"/>
      <c r="I11" s="30"/>
      <c r="J11" s="95"/>
      <c r="K11" s="30"/>
      <c r="L11" s="30"/>
      <c r="M11" s="30"/>
    </row>
    <row r="12" spans="1:16" s="40" customFormat="1" ht="57.6" x14ac:dyDescent="0.3">
      <c r="A12" s="17" t="s">
        <v>189</v>
      </c>
      <c r="B12" s="23" t="s">
        <v>361</v>
      </c>
      <c r="C12" s="23" t="s">
        <v>199</v>
      </c>
      <c r="D12" s="23" t="s">
        <v>200</v>
      </c>
      <c r="E12" s="23" t="s">
        <v>201</v>
      </c>
      <c r="F12" s="23" t="s">
        <v>202</v>
      </c>
      <c r="G12" s="23" t="s">
        <v>2295</v>
      </c>
      <c r="H12" s="23" t="s">
        <v>203</v>
      </c>
      <c r="I12" s="23" t="s">
        <v>204</v>
      </c>
      <c r="K12" s="89"/>
      <c r="L12" s="96"/>
      <c r="M12" s="810"/>
      <c r="P12" s="39"/>
    </row>
    <row r="13" spans="1:16" s="24" customFormat="1" x14ac:dyDescent="0.3">
      <c r="A13" s="17" t="s">
        <v>69</v>
      </c>
      <c r="B13" s="23" t="s">
        <v>2296</v>
      </c>
      <c r="C13" s="59">
        <v>1976</v>
      </c>
      <c r="D13" s="59" t="s">
        <v>453</v>
      </c>
      <c r="E13" s="78" t="s">
        <v>2297</v>
      </c>
      <c r="F13" s="78" t="s">
        <v>2298</v>
      </c>
      <c r="G13" s="23">
        <v>3470</v>
      </c>
      <c r="H13" s="97">
        <v>2</v>
      </c>
      <c r="I13" s="811">
        <f>G13*1100</f>
        <v>3817000</v>
      </c>
      <c r="J13"/>
      <c r="K13" s="99"/>
      <c r="N13" s="812"/>
      <c r="P13" s="458"/>
    </row>
    <row r="14" spans="1:16" s="24" customFormat="1" x14ac:dyDescent="0.3">
      <c r="A14" s="17" t="s">
        <v>71</v>
      </c>
      <c r="B14" s="23" t="s">
        <v>2299</v>
      </c>
      <c r="C14" s="59">
        <v>1905</v>
      </c>
      <c r="D14" s="610">
        <v>1983</v>
      </c>
      <c r="E14" s="23" t="s">
        <v>2300</v>
      </c>
      <c r="F14" s="23" t="s">
        <v>401</v>
      </c>
      <c r="G14" s="23">
        <v>1144</v>
      </c>
      <c r="H14" s="97">
        <v>3</v>
      </c>
      <c r="I14" s="811">
        <f>G14*900</f>
        <v>1029600</v>
      </c>
      <c r="J14"/>
      <c r="N14" s="812"/>
      <c r="P14" s="458"/>
    </row>
    <row r="15" spans="1:16" s="24" customFormat="1" x14ac:dyDescent="0.3">
      <c r="A15" s="17" t="s">
        <v>73</v>
      </c>
      <c r="B15" s="23" t="s">
        <v>2301</v>
      </c>
      <c r="C15" s="59">
        <v>1914</v>
      </c>
      <c r="D15" s="610">
        <v>1991.2012999999999</v>
      </c>
      <c r="E15" s="23" t="s">
        <v>613</v>
      </c>
      <c r="F15" s="23" t="s">
        <v>401</v>
      </c>
      <c r="G15" s="23">
        <v>360</v>
      </c>
      <c r="H15" s="97">
        <v>2</v>
      </c>
      <c r="I15" s="811">
        <f>G15*900</f>
        <v>324000</v>
      </c>
      <c r="J15"/>
      <c r="M15" s="813"/>
      <c r="N15" s="812"/>
      <c r="P15" s="458"/>
    </row>
    <row r="16" spans="1:16" s="1" customFormat="1" x14ac:dyDescent="0.3">
      <c r="A16" s="17" t="s">
        <v>349</v>
      </c>
      <c r="B16" s="23" t="s">
        <v>2302</v>
      </c>
      <c r="C16" s="59">
        <v>1890</v>
      </c>
      <c r="D16" s="610">
        <v>2012.2013999999999</v>
      </c>
      <c r="E16" s="23" t="s">
        <v>613</v>
      </c>
      <c r="F16" s="23" t="s">
        <v>401</v>
      </c>
      <c r="G16" s="23">
        <v>240</v>
      </c>
      <c r="H16" s="97">
        <v>2</v>
      </c>
      <c r="I16" s="811">
        <v>483038.85</v>
      </c>
      <c r="J16"/>
      <c r="P16" s="814"/>
    </row>
    <row r="17" spans="1:27" s="1" customFormat="1" x14ac:dyDescent="0.3">
      <c r="A17" s="17" t="s">
        <v>541</v>
      </c>
      <c r="B17" s="23" t="s">
        <v>2303</v>
      </c>
      <c r="C17" s="59">
        <v>1976</v>
      </c>
      <c r="D17" s="23" t="s">
        <v>2304</v>
      </c>
      <c r="E17" s="23" t="s">
        <v>2305</v>
      </c>
      <c r="F17" s="23" t="s">
        <v>2306</v>
      </c>
      <c r="G17" s="23">
        <v>460</v>
      </c>
      <c r="H17" s="23">
        <v>1</v>
      </c>
      <c r="I17" s="811">
        <f>G17*1100</f>
        <v>506000</v>
      </c>
      <c r="J17"/>
      <c r="M17" s="378"/>
      <c r="N17" s="815"/>
      <c r="P17" s="814"/>
    </row>
    <row r="18" spans="1:27" s="1" customFormat="1" x14ac:dyDescent="0.3">
      <c r="A18" s="17" t="s">
        <v>543</v>
      </c>
      <c r="B18" s="23" t="s">
        <v>2307</v>
      </c>
      <c r="C18" s="38">
        <v>1981</v>
      </c>
      <c r="D18" s="23" t="s">
        <v>2304</v>
      </c>
      <c r="E18" s="17" t="s">
        <v>2305</v>
      </c>
      <c r="F18" s="17" t="s">
        <v>2306</v>
      </c>
      <c r="G18" s="17">
        <v>163</v>
      </c>
      <c r="H18" s="17">
        <v>1</v>
      </c>
      <c r="I18" s="816">
        <v>270752.81</v>
      </c>
      <c r="J18"/>
      <c r="N18" s="812"/>
      <c r="P18" s="814"/>
    </row>
    <row r="19" spans="1:27" s="1" customFormat="1" x14ac:dyDescent="0.3">
      <c r="A19" s="17" t="s">
        <v>546</v>
      </c>
      <c r="B19" s="23" t="s">
        <v>2308</v>
      </c>
      <c r="C19" s="38">
        <v>1890</v>
      </c>
      <c r="D19" s="610">
        <v>2014</v>
      </c>
      <c r="E19" s="17" t="s">
        <v>551</v>
      </c>
      <c r="F19" s="17" t="s">
        <v>2309</v>
      </c>
      <c r="G19" s="17">
        <v>60</v>
      </c>
      <c r="H19" s="17">
        <v>1</v>
      </c>
      <c r="I19" s="816">
        <v>86937</v>
      </c>
      <c r="J19"/>
      <c r="N19" s="812"/>
      <c r="P19" s="814"/>
    </row>
    <row r="20" spans="1:27" s="1" customFormat="1" x14ac:dyDescent="0.3">
      <c r="A20" s="17"/>
      <c r="B20" s="23"/>
      <c r="C20" s="38"/>
      <c r="D20" s="610"/>
      <c r="E20" s="17"/>
      <c r="F20" s="17"/>
      <c r="G20" s="17"/>
      <c r="H20" s="17"/>
      <c r="I20" s="816">
        <f>SUM(I13:I19)</f>
        <v>6517328.6599999992</v>
      </c>
      <c r="J20"/>
      <c r="N20" s="812"/>
      <c r="P20" s="817"/>
    </row>
    <row r="21" spans="1:27" s="1" customFormat="1" x14ac:dyDescent="0.3">
      <c r="A21" s="17"/>
      <c r="B21" s="23"/>
      <c r="C21" s="17"/>
      <c r="D21" s="23"/>
      <c r="E21" s="17"/>
      <c r="F21" s="17"/>
      <c r="G21" s="17"/>
      <c r="H21" s="17"/>
      <c r="I21" s="818"/>
      <c r="J21"/>
      <c r="M21" s="378"/>
      <c r="N21" s="378"/>
      <c r="P21" s="814"/>
    </row>
    <row r="22" spans="1:27" s="1" customFormat="1" ht="28.2" x14ac:dyDescent="0.3">
      <c r="A22"/>
      <c r="B22" s="819" t="s">
        <v>372</v>
      </c>
      <c r="C22"/>
      <c r="D22" s="56"/>
      <c r="E22"/>
      <c r="F22"/>
      <c r="G22"/>
      <c r="H22"/>
      <c r="I22"/>
      <c r="J22"/>
      <c r="P22" s="814"/>
    </row>
    <row r="23" spans="1:27" s="1" customFormat="1" ht="96.6" customHeight="1" x14ac:dyDescent="0.3">
      <c r="A23" s="33" t="s">
        <v>189</v>
      </c>
      <c r="B23" s="820" t="s">
        <v>373</v>
      </c>
      <c r="C23" s="821" t="s">
        <v>374</v>
      </c>
      <c r="D23" s="821" t="s">
        <v>375</v>
      </c>
      <c r="E23" s="821" t="s">
        <v>376</v>
      </c>
      <c r="F23" s="821" t="s">
        <v>394</v>
      </c>
      <c r="G23"/>
      <c r="H23"/>
      <c r="I23"/>
      <c r="J23"/>
      <c r="M23" s="315"/>
      <c r="N23" s="315"/>
      <c r="O23" s="315"/>
      <c r="P23" s="814"/>
    </row>
    <row r="24" spans="1:27" s="1" customFormat="1" x14ac:dyDescent="0.3">
      <c r="A24" s="360">
        <v>1</v>
      </c>
      <c r="B24" s="23" t="s">
        <v>2310</v>
      </c>
      <c r="C24" s="811">
        <v>3817000</v>
      </c>
      <c r="D24" s="822">
        <v>924405</v>
      </c>
      <c r="E24" s="823">
        <v>1448</v>
      </c>
      <c r="F24" s="429">
        <v>2000</v>
      </c>
      <c r="G24"/>
      <c r="H24"/>
      <c r="I24"/>
      <c r="J24"/>
      <c r="L24" s="824"/>
      <c r="M24" s="825"/>
      <c r="N24" s="825"/>
      <c r="O24" s="817"/>
      <c r="P24" s="826"/>
    </row>
    <row r="25" spans="1:27" s="1" customFormat="1" x14ac:dyDescent="0.3">
      <c r="A25" s="360">
        <v>2</v>
      </c>
      <c r="B25" s="23" t="s">
        <v>2311</v>
      </c>
      <c r="C25" s="811">
        <v>1029600</v>
      </c>
      <c r="D25" s="822">
        <v>299192</v>
      </c>
      <c r="E25" s="823"/>
      <c r="F25" s="429">
        <v>1500</v>
      </c>
      <c r="G25"/>
      <c r="H25" s="26"/>
      <c r="I25"/>
      <c r="J25"/>
      <c r="L25" s="824"/>
      <c r="M25" s="825"/>
      <c r="N25" s="825"/>
      <c r="O25" s="817"/>
      <c r="P25" s="826"/>
    </row>
    <row r="26" spans="1:27" s="1" customFormat="1" x14ac:dyDescent="0.3">
      <c r="A26" s="360">
        <v>3</v>
      </c>
      <c r="B26" s="23" t="s">
        <v>2301</v>
      </c>
      <c r="C26" s="811">
        <v>324000</v>
      </c>
      <c r="D26" s="822">
        <v>103066</v>
      </c>
      <c r="E26" s="827"/>
      <c r="F26" s="429">
        <v>700</v>
      </c>
      <c r="G26" s="122"/>
      <c r="H26"/>
      <c r="I26"/>
      <c r="J26"/>
      <c r="L26" s="824"/>
      <c r="M26" s="825"/>
      <c r="N26" s="825"/>
      <c r="O26" s="817"/>
      <c r="P26" s="826"/>
    </row>
    <row r="27" spans="1:27" s="1" customFormat="1" ht="28.8" x14ac:dyDescent="0.3">
      <c r="A27" s="360">
        <v>4</v>
      </c>
      <c r="B27" s="23" t="s">
        <v>2312</v>
      </c>
      <c r="C27" s="811"/>
      <c r="D27" s="822">
        <v>48342</v>
      </c>
      <c r="E27" s="823"/>
      <c r="F27" s="429"/>
      <c r="G27" s="122"/>
      <c r="H27"/>
      <c r="I27"/>
      <c r="J27"/>
      <c r="L27" s="824"/>
      <c r="M27" s="825"/>
      <c r="N27" s="825"/>
      <c r="O27" s="817"/>
      <c r="P27" s="826"/>
    </row>
    <row r="28" spans="1:27" s="1" customFormat="1" ht="28.8" x14ac:dyDescent="0.3">
      <c r="A28" s="360">
        <v>5</v>
      </c>
      <c r="B28" s="23" t="s">
        <v>2313</v>
      </c>
      <c r="C28" s="811">
        <v>483038.85</v>
      </c>
      <c r="D28" s="822">
        <v>11780</v>
      </c>
      <c r="E28" s="823"/>
      <c r="F28" s="429"/>
      <c r="G28"/>
      <c r="H28"/>
      <c r="I28"/>
      <c r="J28"/>
    </row>
    <row r="29" spans="1:27" s="1" customFormat="1" x14ac:dyDescent="0.3">
      <c r="A29" s="360">
        <v>6</v>
      </c>
      <c r="B29" s="23" t="s">
        <v>2303</v>
      </c>
      <c r="C29" s="816">
        <v>506000</v>
      </c>
      <c r="D29" s="822">
        <v>87605</v>
      </c>
      <c r="E29" s="828">
        <v>14841</v>
      </c>
      <c r="F29" s="429"/>
      <c r="G29"/>
      <c r="H29"/>
      <c r="I29"/>
      <c r="J29"/>
      <c r="L29" s="824"/>
      <c r="M29" s="825"/>
      <c r="N29" s="825"/>
      <c r="O29" s="817"/>
      <c r="P29" s="826"/>
    </row>
    <row r="30" spans="1:27" s="432" customFormat="1" ht="15.6" customHeight="1" x14ac:dyDescent="0.3">
      <c r="A30" s="360">
        <v>7</v>
      </c>
      <c r="B30" s="23" t="s">
        <v>2307</v>
      </c>
      <c r="C30" s="816">
        <v>270752.81</v>
      </c>
      <c r="D30" s="822">
        <v>34110</v>
      </c>
      <c r="E30" s="828">
        <v>3891</v>
      </c>
      <c r="F30" s="429"/>
      <c r="G30" s="431"/>
      <c r="H30" s="431"/>
      <c r="I30" s="431"/>
      <c r="J30" s="431"/>
      <c r="K30" s="431"/>
      <c r="L30" s="824"/>
      <c r="M30" s="825"/>
      <c r="N30" s="829"/>
      <c r="O30" s="830"/>
      <c r="P30" s="826"/>
      <c r="Q30" s="431"/>
      <c r="R30" s="431"/>
      <c r="S30" s="431"/>
      <c r="T30" s="431"/>
      <c r="V30" s="431"/>
      <c r="W30" s="431"/>
      <c r="X30" s="431"/>
      <c r="Y30" s="431"/>
      <c r="Z30" s="431"/>
      <c r="AA30" s="431"/>
    </row>
    <row r="31" spans="1:27" ht="17.399999999999999" customHeight="1" x14ac:dyDescent="0.3">
      <c r="A31" s="360">
        <v>8</v>
      </c>
      <c r="B31" s="23" t="s">
        <v>2308</v>
      </c>
      <c r="C31" s="816">
        <v>86937</v>
      </c>
      <c r="D31" s="831">
        <v>15092</v>
      </c>
      <c r="E31" s="831">
        <v>4036</v>
      </c>
      <c r="F31" s="832">
        <v>700</v>
      </c>
      <c r="G31" s="833"/>
      <c r="H31" s="833"/>
      <c r="I31" s="833"/>
      <c r="J31" s="833"/>
      <c r="K31" s="833"/>
      <c r="L31" s="834"/>
      <c r="M31" s="835"/>
      <c r="N31" s="836"/>
      <c r="O31" s="826"/>
      <c r="P31" s="826"/>
    </row>
    <row r="32" spans="1:27" ht="17.100000000000001" customHeight="1" x14ac:dyDescent="0.3">
      <c r="A32" s="360"/>
      <c r="B32" s="20"/>
      <c r="C32" s="837">
        <f>SUM(C24:C31)</f>
        <v>6517328.6599999992</v>
      </c>
      <c r="D32" s="837">
        <f>SUM(D24:D31)</f>
        <v>1523592</v>
      </c>
      <c r="E32" s="838">
        <f>SUM(E24:E31)</f>
        <v>24216</v>
      </c>
      <c r="F32" s="832"/>
      <c r="G32" s="833"/>
      <c r="H32" s="833"/>
      <c r="I32" s="833"/>
      <c r="J32" s="111"/>
      <c r="K32" s="839"/>
      <c r="L32" s="840"/>
      <c r="M32" s="841"/>
      <c r="N32" s="842"/>
      <c r="O32" s="843"/>
      <c r="P32" s="826"/>
    </row>
    <row r="33" spans="1:16" ht="19.5" customHeight="1" x14ac:dyDescent="0.3">
      <c r="B33" s="32"/>
      <c r="C33" s="57"/>
      <c r="D33" s="844"/>
      <c r="E33" s="57"/>
      <c r="F33" s="57"/>
      <c r="G33" s="833"/>
      <c r="H33" s="833"/>
      <c r="I33" s="833"/>
      <c r="J33" s="111"/>
      <c r="K33" s="839"/>
      <c r="L33" s="833"/>
      <c r="M33" s="57"/>
      <c r="N33" s="319"/>
      <c r="O33" s="845"/>
      <c r="P33" s="846"/>
    </row>
    <row r="34" spans="1:16" ht="21.75" customHeight="1" thickBot="1" x14ac:dyDescent="0.35">
      <c r="A34" t="s">
        <v>2314</v>
      </c>
      <c r="B34" s="56"/>
      <c r="D34" s="56"/>
      <c r="K34" s="1"/>
      <c r="L34" s="1"/>
      <c r="M34" s="1"/>
      <c r="N34" s="57"/>
      <c r="O34" s="845"/>
      <c r="P34" s="847"/>
    </row>
    <row r="35" spans="1:16" ht="16.5" customHeight="1" thickBot="1" x14ac:dyDescent="0.35">
      <c r="A35" s="872" t="s">
        <v>37</v>
      </c>
      <c r="B35" s="873"/>
      <c r="C35" s="873"/>
      <c r="D35" s="873"/>
      <c r="E35" s="873"/>
      <c r="F35" s="873"/>
      <c r="G35" s="873"/>
      <c r="H35" s="873"/>
      <c r="I35" s="874"/>
      <c r="J35" s="2"/>
      <c r="K35" s="3" t="s">
        <v>38</v>
      </c>
      <c r="L35" s="4"/>
      <c r="M35" s="5"/>
      <c r="N35" s="57"/>
      <c r="O35" s="845"/>
      <c r="P35" s="847"/>
    </row>
    <row r="36" spans="1:16" ht="69.599999999999994" thickBot="1" x14ac:dyDescent="0.35">
      <c r="A36" s="100"/>
      <c r="B36" s="101" t="s">
        <v>40</v>
      </c>
      <c r="C36" s="899" t="s">
        <v>41</v>
      </c>
      <c r="D36" s="900"/>
      <c r="E36" s="901" t="s">
        <v>42</v>
      </c>
      <c r="F36" s="902"/>
      <c r="G36" s="899" t="s">
        <v>43</v>
      </c>
      <c r="H36" s="900"/>
      <c r="I36" s="7" t="s">
        <v>239</v>
      </c>
      <c r="J36" s="7" t="s">
        <v>208</v>
      </c>
      <c r="K36" s="8" t="s">
        <v>45</v>
      </c>
      <c r="L36" s="7" t="s">
        <v>46</v>
      </c>
      <c r="M36" s="6" t="s">
        <v>39</v>
      </c>
      <c r="P36" s="826"/>
    </row>
    <row r="37" spans="1:16" x14ac:dyDescent="0.3">
      <c r="A37" s="9"/>
      <c r="B37" s="10"/>
      <c r="C37" s="11" t="s">
        <v>48</v>
      </c>
      <c r="D37" s="12" t="s">
        <v>49</v>
      </c>
      <c r="E37" s="13" t="s">
        <v>48</v>
      </c>
      <c r="F37" s="13" t="s">
        <v>49</v>
      </c>
      <c r="G37" s="12" t="s">
        <v>48</v>
      </c>
      <c r="H37" s="12" t="s">
        <v>49</v>
      </c>
      <c r="I37" s="14"/>
      <c r="J37" s="103"/>
      <c r="K37" s="12"/>
      <c r="L37" s="12"/>
      <c r="M37" s="15"/>
    </row>
    <row r="38" spans="1:16" x14ac:dyDescent="0.3">
      <c r="A38" s="360">
        <v>1</v>
      </c>
      <c r="B38" s="23" t="s">
        <v>2315</v>
      </c>
      <c r="C38" s="70">
        <v>10000</v>
      </c>
      <c r="D38" s="70">
        <v>10000</v>
      </c>
      <c r="E38" s="70">
        <v>10000</v>
      </c>
      <c r="F38" s="70">
        <v>3000</v>
      </c>
      <c r="G38" s="70">
        <v>30000</v>
      </c>
      <c r="H38" s="70">
        <v>10000</v>
      </c>
      <c r="I38" s="70">
        <v>2000</v>
      </c>
      <c r="J38" s="848">
        <v>2000</v>
      </c>
      <c r="K38" s="848">
        <v>0</v>
      </c>
      <c r="L38" s="848">
        <v>0</v>
      </c>
      <c r="M38" s="848">
        <v>2000</v>
      </c>
    </row>
    <row r="39" spans="1:16" x14ac:dyDescent="0.3">
      <c r="A39" s="360">
        <v>2</v>
      </c>
      <c r="B39" s="23" t="s">
        <v>2316</v>
      </c>
      <c r="C39" s="18">
        <v>5000</v>
      </c>
      <c r="D39" s="18">
        <v>3000</v>
      </c>
      <c r="E39" s="18">
        <v>5000</v>
      </c>
      <c r="F39" s="18">
        <v>2000</v>
      </c>
      <c r="G39" s="18">
        <v>30000</v>
      </c>
      <c r="H39" s="18">
        <v>10000</v>
      </c>
      <c r="I39" s="18">
        <v>2000</v>
      </c>
      <c r="J39" s="18">
        <v>1000</v>
      </c>
      <c r="K39" s="18"/>
      <c r="L39" s="18"/>
      <c r="M39" s="18">
        <v>2000</v>
      </c>
    </row>
    <row r="40" spans="1:16" x14ac:dyDescent="0.3">
      <c r="A40" s="360">
        <v>3</v>
      </c>
      <c r="B40" s="23" t="s">
        <v>2317</v>
      </c>
      <c r="C40" s="18">
        <v>5000</v>
      </c>
      <c r="D40" s="18">
        <v>3000</v>
      </c>
      <c r="E40" s="18">
        <v>3000</v>
      </c>
      <c r="F40" s="18">
        <v>2000</v>
      </c>
      <c r="G40" s="18">
        <v>5000</v>
      </c>
      <c r="H40" s="18">
        <v>5000</v>
      </c>
      <c r="I40" s="18">
        <v>2000</v>
      </c>
      <c r="J40" s="18">
        <v>1000</v>
      </c>
      <c r="K40" s="18"/>
      <c r="L40" s="18"/>
      <c r="M40" s="18">
        <v>2000</v>
      </c>
    </row>
    <row r="41" spans="1:16" ht="28.8" x14ac:dyDescent="0.3">
      <c r="A41" s="360">
        <v>4</v>
      </c>
      <c r="B41" s="23" t="s">
        <v>2313</v>
      </c>
      <c r="C41" s="18">
        <v>0</v>
      </c>
      <c r="D41" s="18">
        <v>0</v>
      </c>
      <c r="E41" s="18">
        <v>0</v>
      </c>
      <c r="F41" s="18">
        <v>3000</v>
      </c>
      <c r="G41" s="18">
        <v>0</v>
      </c>
      <c r="H41" s="18">
        <v>3000</v>
      </c>
      <c r="I41" s="18" t="s">
        <v>2318</v>
      </c>
      <c r="J41" s="849">
        <v>4000</v>
      </c>
      <c r="K41" s="18"/>
      <c r="L41" s="18"/>
      <c r="M41" s="18"/>
    </row>
    <row r="42" spans="1:16" x14ac:dyDescent="0.3">
      <c r="A42" s="360">
        <v>5</v>
      </c>
      <c r="B42" s="23" t="s">
        <v>2319</v>
      </c>
      <c r="C42" s="18">
        <v>5000</v>
      </c>
      <c r="D42" s="18">
        <v>3000</v>
      </c>
      <c r="E42" s="18">
        <v>5000</v>
      </c>
      <c r="F42" s="18">
        <v>2000</v>
      </c>
      <c r="G42" s="18">
        <v>30000</v>
      </c>
      <c r="H42" s="18">
        <v>10000</v>
      </c>
      <c r="I42" s="18">
        <v>2000</v>
      </c>
      <c r="J42" s="18">
        <v>1000</v>
      </c>
      <c r="K42" s="18"/>
      <c r="L42" s="18"/>
      <c r="M42" s="18">
        <v>2000</v>
      </c>
    </row>
    <row r="43" spans="1:16" x14ac:dyDescent="0.3">
      <c r="A43" s="360">
        <v>6</v>
      </c>
      <c r="B43" s="23" t="s">
        <v>2320</v>
      </c>
      <c r="C43" s="18">
        <v>5000</v>
      </c>
      <c r="D43" s="18">
        <v>3000</v>
      </c>
      <c r="E43" s="18">
        <v>3000</v>
      </c>
      <c r="F43" s="18">
        <v>2000</v>
      </c>
      <c r="G43" s="18">
        <v>3000</v>
      </c>
      <c r="H43" s="18">
        <v>2000</v>
      </c>
      <c r="I43" s="18">
        <v>2000</v>
      </c>
      <c r="J43" s="18">
        <v>1000</v>
      </c>
      <c r="K43" s="18"/>
      <c r="L43" s="18"/>
      <c r="M43" s="18">
        <v>2000</v>
      </c>
    </row>
    <row r="44" spans="1:16" x14ac:dyDescent="0.3">
      <c r="A44" s="360">
        <v>7</v>
      </c>
      <c r="B44" s="23" t="s">
        <v>2321</v>
      </c>
      <c r="C44" s="18">
        <v>5000</v>
      </c>
      <c r="D44" s="18">
        <v>3000</v>
      </c>
      <c r="E44" s="18">
        <v>3000</v>
      </c>
      <c r="F44" s="18">
        <v>2000</v>
      </c>
      <c r="G44" s="18">
        <v>3000</v>
      </c>
      <c r="H44" s="18">
        <v>5000</v>
      </c>
      <c r="I44" s="18">
        <v>2000</v>
      </c>
      <c r="J44" s="18">
        <v>1000</v>
      </c>
      <c r="K44" s="18"/>
      <c r="L44" s="18"/>
      <c r="M44" s="18">
        <v>2000</v>
      </c>
    </row>
  </sheetData>
  <mergeCells count="5">
    <mergeCell ref="B5:B6"/>
    <mergeCell ref="A35:I35"/>
    <mergeCell ref="C36:D36"/>
    <mergeCell ref="E36:F36"/>
    <mergeCell ref="G36:H36"/>
  </mergeCells>
  <pageMargins left="0" right="0" top="0.74803149606299213" bottom="0.74803149606299213" header="0.31496062992125984" footer="0.31496062992125984"/>
  <pageSetup paperSize="9" scale="5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DB920-FBDD-4AE1-9F9F-877A1B5C44C1}">
  <dimension ref="A1:S8"/>
  <sheetViews>
    <sheetView workbookViewId="0">
      <selection activeCell="P14" sqref="P14"/>
    </sheetView>
  </sheetViews>
  <sheetFormatPr defaultRowHeight="14.4" x14ac:dyDescent="0.3"/>
  <cols>
    <col min="2" max="2" width="12.88671875" customWidth="1"/>
    <col min="3" max="3" width="13" customWidth="1"/>
    <col min="4" max="4" width="19.44140625" customWidth="1"/>
    <col min="5" max="5" width="18" customWidth="1"/>
    <col min="6" max="6" width="4.44140625" customWidth="1"/>
    <col min="7" max="7" width="6" customWidth="1"/>
    <col min="8" max="8" width="6.33203125" customWidth="1"/>
    <col min="11" max="11" width="7.109375" customWidth="1"/>
    <col min="12" max="12" width="4.109375" customWidth="1"/>
    <col min="13" max="13" width="4.44140625" customWidth="1"/>
    <col min="14" max="14" width="5.109375" customWidth="1"/>
    <col min="16" max="16" width="14.44140625" customWidth="1"/>
  </cols>
  <sheetData>
    <row r="1" spans="1:19" x14ac:dyDescent="0.3">
      <c r="A1" s="21" t="s">
        <v>2322</v>
      </c>
    </row>
    <row r="5" spans="1:19" ht="43.2" x14ac:dyDescent="0.3">
      <c r="A5" s="17" t="s">
        <v>137</v>
      </c>
      <c r="B5" s="23" t="s">
        <v>138</v>
      </c>
      <c r="C5" s="23" t="s">
        <v>139</v>
      </c>
      <c r="D5" s="23" t="s">
        <v>140</v>
      </c>
      <c r="E5" s="23" t="s">
        <v>141</v>
      </c>
      <c r="F5" s="23" t="s">
        <v>142</v>
      </c>
      <c r="G5" s="23" t="s">
        <v>143</v>
      </c>
      <c r="H5" s="23" t="s">
        <v>144</v>
      </c>
      <c r="I5" s="23" t="s">
        <v>145</v>
      </c>
      <c r="J5" s="23" t="s">
        <v>146</v>
      </c>
      <c r="K5" s="23" t="s">
        <v>147</v>
      </c>
      <c r="L5" s="23" t="s">
        <v>148</v>
      </c>
      <c r="M5" s="23" t="s">
        <v>149</v>
      </c>
      <c r="N5" s="23" t="s">
        <v>150</v>
      </c>
      <c r="O5" s="23" t="s">
        <v>151</v>
      </c>
      <c r="P5" s="23" t="s">
        <v>152</v>
      </c>
      <c r="Q5" s="23" t="s">
        <v>153</v>
      </c>
      <c r="R5" s="23" t="s">
        <v>154</v>
      </c>
      <c r="S5" s="23" t="s">
        <v>221</v>
      </c>
    </row>
    <row r="6" spans="1:19" ht="43.2" x14ac:dyDescent="0.3">
      <c r="A6" s="17">
        <v>1</v>
      </c>
      <c r="B6" s="17" t="s">
        <v>2323</v>
      </c>
      <c r="C6" s="17" t="s">
        <v>156</v>
      </c>
      <c r="D6" s="17" t="s">
        <v>2324</v>
      </c>
      <c r="E6" s="23" t="s">
        <v>2325</v>
      </c>
      <c r="F6" s="17">
        <v>55</v>
      </c>
      <c r="G6" s="17"/>
      <c r="H6" s="17">
        <v>5</v>
      </c>
      <c r="I6" s="17"/>
      <c r="J6" s="18">
        <v>13651</v>
      </c>
      <c r="K6" s="17">
        <v>2002</v>
      </c>
      <c r="L6" s="17" t="s">
        <v>159</v>
      </c>
      <c r="M6" s="17" t="s">
        <v>159</v>
      </c>
      <c r="N6" s="17" t="s">
        <v>159</v>
      </c>
      <c r="O6" s="80">
        <v>0.01</v>
      </c>
      <c r="P6" s="23" t="s">
        <v>2326</v>
      </c>
      <c r="Q6" s="17" t="s">
        <v>159</v>
      </c>
      <c r="R6" s="17" t="s">
        <v>159</v>
      </c>
      <c r="S6" s="17" t="s">
        <v>160</v>
      </c>
    </row>
    <row r="7" spans="1:19" ht="43.2" x14ac:dyDescent="0.3">
      <c r="A7" s="17">
        <v>2</v>
      </c>
      <c r="B7" s="17" t="s">
        <v>2327</v>
      </c>
      <c r="C7" s="23" t="s">
        <v>156</v>
      </c>
      <c r="D7" s="17" t="s">
        <v>2328</v>
      </c>
      <c r="E7" s="23" t="s">
        <v>2329</v>
      </c>
      <c r="F7" s="17">
        <v>84</v>
      </c>
      <c r="G7" s="17"/>
      <c r="H7" s="17">
        <v>9</v>
      </c>
      <c r="I7" s="17"/>
      <c r="J7" s="18">
        <v>27960</v>
      </c>
      <c r="K7" s="17">
        <v>2011</v>
      </c>
      <c r="L7" s="17" t="s">
        <v>159</v>
      </c>
      <c r="M7" s="17" t="s">
        <v>159</v>
      </c>
      <c r="N7" s="17" t="s">
        <v>159</v>
      </c>
      <c r="O7" s="80">
        <v>0.01</v>
      </c>
      <c r="P7" s="23" t="s">
        <v>2326</v>
      </c>
      <c r="Q7" s="17" t="s">
        <v>159</v>
      </c>
      <c r="R7" s="17" t="s">
        <v>159</v>
      </c>
      <c r="S7" s="17" t="s">
        <v>160</v>
      </c>
    </row>
    <row r="8" spans="1:19" ht="43.2" x14ac:dyDescent="0.3">
      <c r="A8" s="17">
        <v>3</v>
      </c>
      <c r="B8" s="17" t="s">
        <v>2330</v>
      </c>
      <c r="C8" s="17" t="s">
        <v>252</v>
      </c>
      <c r="D8" s="17" t="s">
        <v>2331</v>
      </c>
      <c r="E8" s="23" t="s">
        <v>2332</v>
      </c>
      <c r="F8" s="17">
        <v>55</v>
      </c>
      <c r="G8" s="17"/>
      <c r="H8" s="17">
        <v>2</v>
      </c>
      <c r="I8" s="17" t="s">
        <v>2333</v>
      </c>
      <c r="J8" s="18">
        <v>13120</v>
      </c>
      <c r="K8" s="17">
        <v>2013</v>
      </c>
      <c r="L8" s="17" t="s">
        <v>159</v>
      </c>
      <c r="M8" s="17" t="s">
        <v>159</v>
      </c>
      <c r="N8" s="17" t="s">
        <v>159</v>
      </c>
      <c r="O8" s="80">
        <v>0.01</v>
      </c>
      <c r="P8" s="23" t="s">
        <v>2326</v>
      </c>
      <c r="Q8" s="17" t="s">
        <v>159</v>
      </c>
      <c r="R8" s="17" t="s">
        <v>159</v>
      </c>
      <c r="S8" s="17" t="s">
        <v>160</v>
      </c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60FD8-A08F-4BB6-8A81-B4028CA5D94B}">
  <sheetPr>
    <pageSetUpPr fitToPage="1"/>
  </sheetPr>
  <dimension ref="A1:AA126"/>
  <sheetViews>
    <sheetView topLeftCell="A87" zoomScale="85" zoomScaleNormal="85" workbookViewId="0">
      <selection activeCell="G105" sqref="G105"/>
    </sheetView>
  </sheetViews>
  <sheetFormatPr defaultRowHeight="14.4" x14ac:dyDescent="0.3"/>
  <cols>
    <col min="1" max="1" width="6.109375" customWidth="1"/>
    <col min="2" max="2" width="48.5546875" customWidth="1"/>
    <col min="3" max="3" width="14.6640625" customWidth="1"/>
    <col min="4" max="4" width="15.5546875" customWidth="1"/>
    <col min="5" max="5" width="23.5546875" customWidth="1"/>
    <col min="6" max="6" width="37.109375" customWidth="1"/>
    <col min="7" max="7" width="15.6640625" customWidth="1"/>
    <col min="8" max="8" width="21.33203125" customWidth="1"/>
    <col min="9" max="9" width="14" customWidth="1"/>
    <col min="10" max="10" width="14.109375" customWidth="1"/>
    <col min="11" max="11" width="14.6640625" customWidth="1"/>
    <col min="12" max="12" width="13.5546875" customWidth="1"/>
    <col min="13" max="13" width="13.44140625" bestFit="1" customWidth="1"/>
    <col min="14" max="14" width="12.5546875" customWidth="1"/>
    <col min="15" max="15" width="12.88671875" customWidth="1"/>
    <col min="27" max="27" width="9.5546875" bestFit="1" customWidth="1"/>
    <col min="257" max="257" width="6.109375" customWidth="1"/>
    <col min="258" max="258" width="28.109375" customWidth="1"/>
    <col min="259" max="259" width="13.88671875" customWidth="1"/>
    <col min="260" max="260" width="14.5546875" customWidth="1"/>
    <col min="261" max="261" width="15.5546875" customWidth="1"/>
    <col min="262" max="262" width="14.5546875" customWidth="1"/>
    <col min="263" max="263" width="16.5546875" customWidth="1"/>
    <col min="264" max="264" width="14.5546875" customWidth="1"/>
    <col min="265" max="265" width="11.5546875" customWidth="1"/>
    <col min="266" max="266" width="12.88671875" customWidth="1"/>
    <col min="267" max="268" width="13.5546875" customWidth="1"/>
    <col min="269" max="269" width="13.44140625" bestFit="1" customWidth="1"/>
    <col min="513" max="513" width="6.109375" customWidth="1"/>
    <col min="514" max="514" width="28.109375" customWidth="1"/>
    <col min="515" max="515" width="13.88671875" customWidth="1"/>
    <col min="516" max="516" width="14.5546875" customWidth="1"/>
    <col min="517" max="517" width="15.5546875" customWidth="1"/>
    <col min="518" max="518" width="14.5546875" customWidth="1"/>
    <col min="519" max="519" width="16.5546875" customWidth="1"/>
    <col min="520" max="520" width="14.5546875" customWidth="1"/>
    <col min="521" max="521" width="11.5546875" customWidth="1"/>
    <col min="522" max="522" width="12.88671875" customWidth="1"/>
    <col min="523" max="524" width="13.5546875" customWidth="1"/>
    <col min="525" max="525" width="13.44140625" bestFit="1" customWidth="1"/>
    <col min="769" max="769" width="6.109375" customWidth="1"/>
    <col min="770" max="770" width="28.109375" customWidth="1"/>
    <col min="771" max="771" width="13.88671875" customWidth="1"/>
    <col min="772" max="772" width="14.5546875" customWidth="1"/>
    <col min="773" max="773" width="15.5546875" customWidth="1"/>
    <col min="774" max="774" width="14.5546875" customWidth="1"/>
    <col min="775" max="775" width="16.5546875" customWidth="1"/>
    <col min="776" max="776" width="14.5546875" customWidth="1"/>
    <col min="777" max="777" width="11.5546875" customWidth="1"/>
    <col min="778" max="778" width="12.88671875" customWidth="1"/>
    <col min="779" max="780" width="13.5546875" customWidth="1"/>
    <col min="781" max="781" width="13.44140625" bestFit="1" customWidth="1"/>
    <col min="1025" max="1025" width="6.109375" customWidth="1"/>
    <col min="1026" max="1026" width="28.109375" customWidth="1"/>
    <col min="1027" max="1027" width="13.88671875" customWidth="1"/>
    <col min="1028" max="1028" width="14.5546875" customWidth="1"/>
    <col min="1029" max="1029" width="15.5546875" customWidth="1"/>
    <col min="1030" max="1030" width="14.5546875" customWidth="1"/>
    <col min="1031" max="1031" width="16.5546875" customWidth="1"/>
    <col min="1032" max="1032" width="14.5546875" customWidth="1"/>
    <col min="1033" max="1033" width="11.5546875" customWidth="1"/>
    <col min="1034" max="1034" width="12.88671875" customWidth="1"/>
    <col min="1035" max="1036" width="13.5546875" customWidth="1"/>
    <col min="1037" max="1037" width="13.44140625" bestFit="1" customWidth="1"/>
    <col min="1281" max="1281" width="6.109375" customWidth="1"/>
    <col min="1282" max="1282" width="28.109375" customWidth="1"/>
    <col min="1283" max="1283" width="13.88671875" customWidth="1"/>
    <col min="1284" max="1284" width="14.5546875" customWidth="1"/>
    <col min="1285" max="1285" width="15.5546875" customWidth="1"/>
    <col min="1286" max="1286" width="14.5546875" customWidth="1"/>
    <col min="1287" max="1287" width="16.5546875" customWidth="1"/>
    <col min="1288" max="1288" width="14.5546875" customWidth="1"/>
    <col min="1289" max="1289" width="11.5546875" customWidth="1"/>
    <col min="1290" max="1290" width="12.88671875" customWidth="1"/>
    <col min="1291" max="1292" width="13.5546875" customWidth="1"/>
    <col min="1293" max="1293" width="13.44140625" bestFit="1" customWidth="1"/>
    <col min="1537" max="1537" width="6.109375" customWidth="1"/>
    <col min="1538" max="1538" width="28.109375" customWidth="1"/>
    <col min="1539" max="1539" width="13.88671875" customWidth="1"/>
    <col min="1540" max="1540" width="14.5546875" customWidth="1"/>
    <col min="1541" max="1541" width="15.5546875" customWidth="1"/>
    <col min="1542" max="1542" width="14.5546875" customWidth="1"/>
    <col min="1543" max="1543" width="16.5546875" customWidth="1"/>
    <col min="1544" max="1544" width="14.5546875" customWidth="1"/>
    <col min="1545" max="1545" width="11.5546875" customWidth="1"/>
    <col min="1546" max="1546" width="12.88671875" customWidth="1"/>
    <col min="1547" max="1548" width="13.5546875" customWidth="1"/>
    <col min="1549" max="1549" width="13.44140625" bestFit="1" customWidth="1"/>
    <col min="1793" max="1793" width="6.109375" customWidth="1"/>
    <col min="1794" max="1794" width="28.109375" customWidth="1"/>
    <col min="1795" max="1795" width="13.88671875" customWidth="1"/>
    <col min="1796" max="1796" width="14.5546875" customWidth="1"/>
    <col min="1797" max="1797" width="15.5546875" customWidth="1"/>
    <col min="1798" max="1798" width="14.5546875" customWidth="1"/>
    <col min="1799" max="1799" width="16.5546875" customWidth="1"/>
    <col min="1800" max="1800" width="14.5546875" customWidth="1"/>
    <col min="1801" max="1801" width="11.5546875" customWidth="1"/>
    <col min="1802" max="1802" width="12.88671875" customWidth="1"/>
    <col min="1803" max="1804" width="13.5546875" customWidth="1"/>
    <col min="1805" max="1805" width="13.44140625" bestFit="1" customWidth="1"/>
    <col min="2049" max="2049" width="6.109375" customWidth="1"/>
    <col min="2050" max="2050" width="28.109375" customWidth="1"/>
    <col min="2051" max="2051" width="13.88671875" customWidth="1"/>
    <col min="2052" max="2052" width="14.5546875" customWidth="1"/>
    <col min="2053" max="2053" width="15.5546875" customWidth="1"/>
    <col min="2054" max="2054" width="14.5546875" customWidth="1"/>
    <col min="2055" max="2055" width="16.5546875" customWidth="1"/>
    <col min="2056" max="2056" width="14.5546875" customWidth="1"/>
    <col min="2057" max="2057" width="11.5546875" customWidth="1"/>
    <col min="2058" max="2058" width="12.88671875" customWidth="1"/>
    <col min="2059" max="2060" width="13.5546875" customWidth="1"/>
    <col min="2061" max="2061" width="13.44140625" bestFit="1" customWidth="1"/>
    <col min="2305" max="2305" width="6.109375" customWidth="1"/>
    <col min="2306" max="2306" width="28.109375" customWidth="1"/>
    <col min="2307" max="2307" width="13.88671875" customWidth="1"/>
    <col min="2308" max="2308" width="14.5546875" customWidth="1"/>
    <col min="2309" max="2309" width="15.5546875" customWidth="1"/>
    <col min="2310" max="2310" width="14.5546875" customWidth="1"/>
    <col min="2311" max="2311" width="16.5546875" customWidth="1"/>
    <col min="2312" max="2312" width="14.5546875" customWidth="1"/>
    <col min="2313" max="2313" width="11.5546875" customWidth="1"/>
    <col min="2314" max="2314" width="12.88671875" customWidth="1"/>
    <col min="2315" max="2316" width="13.5546875" customWidth="1"/>
    <col min="2317" max="2317" width="13.44140625" bestFit="1" customWidth="1"/>
    <col min="2561" max="2561" width="6.109375" customWidth="1"/>
    <col min="2562" max="2562" width="28.109375" customWidth="1"/>
    <col min="2563" max="2563" width="13.88671875" customWidth="1"/>
    <col min="2564" max="2564" width="14.5546875" customWidth="1"/>
    <col min="2565" max="2565" width="15.5546875" customWidth="1"/>
    <col min="2566" max="2566" width="14.5546875" customWidth="1"/>
    <col min="2567" max="2567" width="16.5546875" customWidth="1"/>
    <col min="2568" max="2568" width="14.5546875" customWidth="1"/>
    <col min="2569" max="2569" width="11.5546875" customWidth="1"/>
    <col min="2570" max="2570" width="12.88671875" customWidth="1"/>
    <col min="2571" max="2572" width="13.5546875" customWidth="1"/>
    <col min="2573" max="2573" width="13.44140625" bestFit="1" customWidth="1"/>
    <col min="2817" max="2817" width="6.109375" customWidth="1"/>
    <col min="2818" max="2818" width="28.109375" customWidth="1"/>
    <col min="2819" max="2819" width="13.88671875" customWidth="1"/>
    <col min="2820" max="2820" width="14.5546875" customWidth="1"/>
    <col min="2821" max="2821" width="15.5546875" customWidth="1"/>
    <col min="2822" max="2822" width="14.5546875" customWidth="1"/>
    <col min="2823" max="2823" width="16.5546875" customWidth="1"/>
    <col min="2824" max="2824" width="14.5546875" customWidth="1"/>
    <col min="2825" max="2825" width="11.5546875" customWidth="1"/>
    <col min="2826" max="2826" width="12.88671875" customWidth="1"/>
    <col min="2827" max="2828" width="13.5546875" customWidth="1"/>
    <col min="2829" max="2829" width="13.44140625" bestFit="1" customWidth="1"/>
    <col min="3073" max="3073" width="6.109375" customWidth="1"/>
    <col min="3074" max="3074" width="28.109375" customWidth="1"/>
    <col min="3075" max="3075" width="13.88671875" customWidth="1"/>
    <col min="3076" max="3076" width="14.5546875" customWidth="1"/>
    <col min="3077" max="3077" width="15.5546875" customWidth="1"/>
    <col min="3078" max="3078" width="14.5546875" customWidth="1"/>
    <col min="3079" max="3079" width="16.5546875" customWidth="1"/>
    <col min="3080" max="3080" width="14.5546875" customWidth="1"/>
    <col min="3081" max="3081" width="11.5546875" customWidth="1"/>
    <col min="3082" max="3082" width="12.88671875" customWidth="1"/>
    <col min="3083" max="3084" width="13.5546875" customWidth="1"/>
    <col min="3085" max="3085" width="13.44140625" bestFit="1" customWidth="1"/>
    <col min="3329" max="3329" width="6.109375" customWidth="1"/>
    <col min="3330" max="3330" width="28.109375" customWidth="1"/>
    <col min="3331" max="3331" width="13.88671875" customWidth="1"/>
    <col min="3332" max="3332" width="14.5546875" customWidth="1"/>
    <col min="3333" max="3333" width="15.5546875" customWidth="1"/>
    <col min="3334" max="3334" width="14.5546875" customWidth="1"/>
    <col min="3335" max="3335" width="16.5546875" customWidth="1"/>
    <col min="3336" max="3336" width="14.5546875" customWidth="1"/>
    <col min="3337" max="3337" width="11.5546875" customWidth="1"/>
    <col min="3338" max="3338" width="12.88671875" customWidth="1"/>
    <col min="3339" max="3340" width="13.5546875" customWidth="1"/>
    <col min="3341" max="3341" width="13.44140625" bestFit="1" customWidth="1"/>
    <col min="3585" max="3585" width="6.109375" customWidth="1"/>
    <col min="3586" max="3586" width="28.109375" customWidth="1"/>
    <col min="3587" max="3587" width="13.88671875" customWidth="1"/>
    <col min="3588" max="3588" width="14.5546875" customWidth="1"/>
    <col min="3589" max="3589" width="15.5546875" customWidth="1"/>
    <col min="3590" max="3590" width="14.5546875" customWidth="1"/>
    <col min="3591" max="3591" width="16.5546875" customWidth="1"/>
    <col min="3592" max="3592" width="14.5546875" customWidth="1"/>
    <col min="3593" max="3593" width="11.5546875" customWidth="1"/>
    <col min="3594" max="3594" width="12.88671875" customWidth="1"/>
    <col min="3595" max="3596" width="13.5546875" customWidth="1"/>
    <col min="3597" max="3597" width="13.44140625" bestFit="1" customWidth="1"/>
    <col min="3841" max="3841" width="6.109375" customWidth="1"/>
    <col min="3842" max="3842" width="28.109375" customWidth="1"/>
    <col min="3843" max="3843" width="13.88671875" customWidth="1"/>
    <col min="3844" max="3844" width="14.5546875" customWidth="1"/>
    <col min="3845" max="3845" width="15.5546875" customWidth="1"/>
    <col min="3846" max="3846" width="14.5546875" customWidth="1"/>
    <col min="3847" max="3847" width="16.5546875" customWidth="1"/>
    <col min="3848" max="3848" width="14.5546875" customWidth="1"/>
    <col min="3849" max="3849" width="11.5546875" customWidth="1"/>
    <col min="3850" max="3850" width="12.88671875" customWidth="1"/>
    <col min="3851" max="3852" width="13.5546875" customWidth="1"/>
    <col min="3853" max="3853" width="13.44140625" bestFit="1" customWidth="1"/>
    <col min="4097" max="4097" width="6.109375" customWidth="1"/>
    <col min="4098" max="4098" width="28.109375" customWidth="1"/>
    <col min="4099" max="4099" width="13.88671875" customWidth="1"/>
    <col min="4100" max="4100" width="14.5546875" customWidth="1"/>
    <col min="4101" max="4101" width="15.5546875" customWidth="1"/>
    <col min="4102" max="4102" width="14.5546875" customWidth="1"/>
    <col min="4103" max="4103" width="16.5546875" customWidth="1"/>
    <col min="4104" max="4104" width="14.5546875" customWidth="1"/>
    <col min="4105" max="4105" width="11.5546875" customWidth="1"/>
    <col min="4106" max="4106" width="12.88671875" customWidth="1"/>
    <col min="4107" max="4108" width="13.5546875" customWidth="1"/>
    <col min="4109" max="4109" width="13.44140625" bestFit="1" customWidth="1"/>
    <col min="4353" max="4353" width="6.109375" customWidth="1"/>
    <col min="4354" max="4354" width="28.109375" customWidth="1"/>
    <col min="4355" max="4355" width="13.88671875" customWidth="1"/>
    <col min="4356" max="4356" width="14.5546875" customWidth="1"/>
    <col min="4357" max="4357" width="15.5546875" customWidth="1"/>
    <col min="4358" max="4358" width="14.5546875" customWidth="1"/>
    <col min="4359" max="4359" width="16.5546875" customWidth="1"/>
    <col min="4360" max="4360" width="14.5546875" customWidth="1"/>
    <col min="4361" max="4361" width="11.5546875" customWidth="1"/>
    <col min="4362" max="4362" width="12.88671875" customWidth="1"/>
    <col min="4363" max="4364" width="13.5546875" customWidth="1"/>
    <col min="4365" max="4365" width="13.44140625" bestFit="1" customWidth="1"/>
    <col min="4609" max="4609" width="6.109375" customWidth="1"/>
    <col min="4610" max="4610" width="28.109375" customWidth="1"/>
    <col min="4611" max="4611" width="13.88671875" customWidth="1"/>
    <col min="4612" max="4612" width="14.5546875" customWidth="1"/>
    <col min="4613" max="4613" width="15.5546875" customWidth="1"/>
    <col min="4614" max="4614" width="14.5546875" customWidth="1"/>
    <col min="4615" max="4615" width="16.5546875" customWidth="1"/>
    <col min="4616" max="4616" width="14.5546875" customWidth="1"/>
    <col min="4617" max="4617" width="11.5546875" customWidth="1"/>
    <col min="4618" max="4618" width="12.88671875" customWidth="1"/>
    <col min="4619" max="4620" width="13.5546875" customWidth="1"/>
    <col min="4621" max="4621" width="13.44140625" bestFit="1" customWidth="1"/>
    <col min="4865" max="4865" width="6.109375" customWidth="1"/>
    <col min="4866" max="4866" width="28.109375" customWidth="1"/>
    <col min="4867" max="4867" width="13.88671875" customWidth="1"/>
    <col min="4868" max="4868" width="14.5546875" customWidth="1"/>
    <col min="4869" max="4869" width="15.5546875" customWidth="1"/>
    <col min="4870" max="4870" width="14.5546875" customWidth="1"/>
    <col min="4871" max="4871" width="16.5546875" customWidth="1"/>
    <col min="4872" max="4872" width="14.5546875" customWidth="1"/>
    <col min="4873" max="4873" width="11.5546875" customWidth="1"/>
    <col min="4874" max="4874" width="12.88671875" customWidth="1"/>
    <col min="4875" max="4876" width="13.5546875" customWidth="1"/>
    <col min="4877" max="4877" width="13.44140625" bestFit="1" customWidth="1"/>
    <col min="5121" max="5121" width="6.109375" customWidth="1"/>
    <col min="5122" max="5122" width="28.109375" customWidth="1"/>
    <col min="5123" max="5123" width="13.88671875" customWidth="1"/>
    <col min="5124" max="5124" width="14.5546875" customWidth="1"/>
    <col min="5125" max="5125" width="15.5546875" customWidth="1"/>
    <col min="5126" max="5126" width="14.5546875" customWidth="1"/>
    <col min="5127" max="5127" width="16.5546875" customWidth="1"/>
    <col min="5128" max="5128" width="14.5546875" customWidth="1"/>
    <col min="5129" max="5129" width="11.5546875" customWidth="1"/>
    <col min="5130" max="5130" width="12.88671875" customWidth="1"/>
    <col min="5131" max="5132" width="13.5546875" customWidth="1"/>
    <col min="5133" max="5133" width="13.44140625" bestFit="1" customWidth="1"/>
    <col min="5377" max="5377" width="6.109375" customWidth="1"/>
    <col min="5378" max="5378" width="28.109375" customWidth="1"/>
    <col min="5379" max="5379" width="13.88671875" customWidth="1"/>
    <col min="5380" max="5380" width="14.5546875" customWidth="1"/>
    <col min="5381" max="5381" width="15.5546875" customWidth="1"/>
    <col min="5382" max="5382" width="14.5546875" customWidth="1"/>
    <col min="5383" max="5383" width="16.5546875" customWidth="1"/>
    <col min="5384" max="5384" width="14.5546875" customWidth="1"/>
    <col min="5385" max="5385" width="11.5546875" customWidth="1"/>
    <col min="5386" max="5386" width="12.88671875" customWidth="1"/>
    <col min="5387" max="5388" width="13.5546875" customWidth="1"/>
    <col min="5389" max="5389" width="13.44140625" bestFit="1" customWidth="1"/>
    <col min="5633" max="5633" width="6.109375" customWidth="1"/>
    <col min="5634" max="5634" width="28.109375" customWidth="1"/>
    <col min="5635" max="5635" width="13.88671875" customWidth="1"/>
    <col min="5636" max="5636" width="14.5546875" customWidth="1"/>
    <col min="5637" max="5637" width="15.5546875" customWidth="1"/>
    <col min="5638" max="5638" width="14.5546875" customWidth="1"/>
    <col min="5639" max="5639" width="16.5546875" customWidth="1"/>
    <col min="5640" max="5640" width="14.5546875" customWidth="1"/>
    <col min="5641" max="5641" width="11.5546875" customWidth="1"/>
    <col min="5642" max="5642" width="12.88671875" customWidth="1"/>
    <col min="5643" max="5644" width="13.5546875" customWidth="1"/>
    <col min="5645" max="5645" width="13.44140625" bestFit="1" customWidth="1"/>
    <col min="5889" max="5889" width="6.109375" customWidth="1"/>
    <col min="5890" max="5890" width="28.109375" customWidth="1"/>
    <col min="5891" max="5891" width="13.88671875" customWidth="1"/>
    <col min="5892" max="5892" width="14.5546875" customWidth="1"/>
    <col min="5893" max="5893" width="15.5546875" customWidth="1"/>
    <col min="5894" max="5894" width="14.5546875" customWidth="1"/>
    <col min="5895" max="5895" width="16.5546875" customWidth="1"/>
    <col min="5896" max="5896" width="14.5546875" customWidth="1"/>
    <col min="5897" max="5897" width="11.5546875" customWidth="1"/>
    <col min="5898" max="5898" width="12.88671875" customWidth="1"/>
    <col min="5899" max="5900" width="13.5546875" customWidth="1"/>
    <col min="5901" max="5901" width="13.44140625" bestFit="1" customWidth="1"/>
    <col min="6145" max="6145" width="6.109375" customWidth="1"/>
    <col min="6146" max="6146" width="28.109375" customWidth="1"/>
    <col min="6147" max="6147" width="13.88671875" customWidth="1"/>
    <col min="6148" max="6148" width="14.5546875" customWidth="1"/>
    <col min="6149" max="6149" width="15.5546875" customWidth="1"/>
    <col min="6150" max="6150" width="14.5546875" customWidth="1"/>
    <col min="6151" max="6151" width="16.5546875" customWidth="1"/>
    <col min="6152" max="6152" width="14.5546875" customWidth="1"/>
    <col min="6153" max="6153" width="11.5546875" customWidth="1"/>
    <col min="6154" max="6154" width="12.88671875" customWidth="1"/>
    <col min="6155" max="6156" width="13.5546875" customWidth="1"/>
    <col min="6157" max="6157" width="13.44140625" bestFit="1" customWidth="1"/>
    <col min="6401" max="6401" width="6.109375" customWidth="1"/>
    <col min="6402" max="6402" width="28.109375" customWidth="1"/>
    <col min="6403" max="6403" width="13.88671875" customWidth="1"/>
    <col min="6404" max="6404" width="14.5546875" customWidth="1"/>
    <col min="6405" max="6405" width="15.5546875" customWidth="1"/>
    <col min="6406" max="6406" width="14.5546875" customWidth="1"/>
    <col min="6407" max="6407" width="16.5546875" customWidth="1"/>
    <col min="6408" max="6408" width="14.5546875" customWidth="1"/>
    <col min="6409" max="6409" width="11.5546875" customWidth="1"/>
    <col min="6410" max="6410" width="12.88671875" customWidth="1"/>
    <col min="6411" max="6412" width="13.5546875" customWidth="1"/>
    <col min="6413" max="6413" width="13.44140625" bestFit="1" customWidth="1"/>
    <col min="6657" max="6657" width="6.109375" customWidth="1"/>
    <col min="6658" max="6658" width="28.109375" customWidth="1"/>
    <col min="6659" max="6659" width="13.88671875" customWidth="1"/>
    <col min="6660" max="6660" width="14.5546875" customWidth="1"/>
    <col min="6661" max="6661" width="15.5546875" customWidth="1"/>
    <col min="6662" max="6662" width="14.5546875" customWidth="1"/>
    <col min="6663" max="6663" width="16.5546875" customWidth="1"/>
    <col min="6664" max="6664" width="14.5546875" customWidth="1"/>
    <col min="6665" max="6665" width="11.5546875" customWidth="1"/>
    <col min="6666" max="6666" width="12.88671875" customWidth="1"/>
    <col min="6667" max="6668" width="13.5546875" customWidth="1"/>
    <col min="6669" max="6669" width="13.44140625" bestFit="1" customWidth="1"/>
    <col min="6913" max="6913" width="6.109375" customWidth="1"/>
    <col min="6914" max="6914" width="28.109375" customWidth="1"/>
    <col min="6915" max="6915" width="13.88671875" customWidth="1"/>
    <col min="6916" max="6916" width="14.5546875" customWidth="1"/>
    <col min="6917" max="6917" width="15.5546875" customWidth="1"/>
    <col min="6918" max="6918" width="14.5546875" customWidth="1"/>
    <col min="6919" max="6919" width="16.5546875" customWidth="1"/>
    <col min="6920" max="6920" width="14.5546875" customWidth="1"/>
    <col min="6921" max="6921" width="11.5546875" customWidth="1"/>
    <col min="6922" max="6922" width="12.88671875" customWidth="1"/>
    <col min="6923" max="6924" width="13.5546875" customWidth="1"/>
    <col min="6925" max="6925" width="13.44140625" bestFit="1" customWidth="1"/>
    <col min="7169" max="7169" width="6.109375" customWidth="1"/>
    <col min="7170" max="7170" width="28.109375" customWidth="1"/>
    <col min="7171" max="7171" width="13.88671875" customWidth="1"/>
    <col min="7172" max="7172" width="14.5546875" customWidth="1"/>
    <col min="7173" max="7173" width="15.5546875" customWidth="1"/>
    <col min="7174" max="7174" width="14.5546875" customWidth="1"/>
    <col min="7175" max="7175" width="16.5546875" customWidth="1"/>
    <col min="7176" max="7176" width="14.5546875" customWidth="1"/>
    <col min="7177" max="7177" width="11.5546875" customWidth="1"/>
    <col min="7178" max="7178" width="12.88671875" customWidth="1"/>
    <col min="7179" max="7180" width="13.5546875" customWidth="1"/>
    <col min="7181" max="7181" width="13.44140625" bestFit="1" customWidth="1"/>
    <col min="7425" max="7425" width="6.109375" customWidth="1"/>
    <col min="7426" max="7426" width="28.109375" customWidth="1"/>
    <col min="7427" max="7427" width="13.88671875" customWidth="1"/>
    <col min="7428" max="7428" width="14.5546875" customWidth="1"/>
    <col min="7429" max="7429" width="15.5546875" customWidth="1"/>
    <col min="7430" max="7430" width="14.5546875" customWidth="1"/>
    <col min="7431" max="7431" width="16.5546875" customWidth="1"/>
    <col min="7432" max="7432" width="14.5546875" customWidth="1"/>
    <col min="7433" max="7433" width="11.5546875" customWidth="1"/>
    <col min="7434" max="7434" width="12.88671875" customWidth="1"/>
    <col min="7435" max="7436" width="13.5546875" customWidth="1"/>
    <col min="7437" max="7437" width="13.44140625" bestFit="1" customWidth="1"/>
    <col min="7681" max="7681" width="6.109375" customWidth="1"/>
    <col min="7682" max="7682" width="28.109375" customWidth="1"/>
    <col min="7683" max="7683" width="13.88671875" customWidth="1"/>
    <col min="7684" max="7684" width="14.5546875" customWidth="1"/>
    <col min="7685" max="7685" width="15.5546875" customWidth="1"/>
    <col min="7686" max="7686" width="14.5546875" customWidth="1"/>
    <col min="7687" max="7687" width="16.5546875" customWidth="1"/>
    <col min="7688" max="7688" width="14.5546875" customWidth="1"/>
    <col min="7689" max="7689" width="11.5546875" customWidth="1"/>
    <col min="7690" max="7690" width="12.88671875" customWidth="1"/>
    <col min="7691" max="7692" width="13.5546875" customWidth="1"/>
    <col min="7693" max="7693" width="13.44140625" bestFit="1" customWidth="1"/>
    <col min="7937" max="7937" width="6.109375" customWidth="1"/>
    <col min="7938" max="7938" width="28.109375" customWidth="1"/>
    <col min="7939" max="7939" width="13.88671875" customWidth="1"/>
    <col min="7940" max="7940" width="14.5546875" customWidth="1"/>
    <col min="7941" max="7941" width="15.5546875" customWidth="1"/>
    <col min="7942" max="7942" width="14.5546875" customWidth="1"/>
    <col min="7943" max="7943" width="16.5546875" customWidth="1"/>
    <col min="7944" max="7944" width="14.5546875" customWidth="1"/>
    <col min="7945" max="7945" width="11.5546875" customWidth="1"/>
    <col min="7946" max="7946" width="12.88671875" customWidth="1"/>
    <col min="7947" max="7948" width="13.5546875" customWidth="1"/>
    <col min="7949" max="7949" width="13.44140625" bestFit="1" customWidth="1"/>
    <col min="8193" max="8193" width="6.109375" customWidth="1"/>
    <col min="8194" max="8194" width="28.109375" customWidth="1"/>
    <col min="8195" max="8195" width="13.88671875" customWidth="1"/>
    <col min="8196" max="8196" width="14.5546875" customWidth="1"/>
    <col min="8197" max="8197" width="15.5546875" customWidth="1"/>
    <col min="8198" max="8198" width="14.5546875" customWidth="1"/>
    <col min="8199" max="8199" width="16.5546875" customWidth="1"/>
    <col min="8200" max="8200" width="14.5546875" customWidth="1"/>
    <col min="8201" max="8201" width="11.5546875" customWidth="1"/>
    <col min="8202" max="8202" width="12.88671875" customWidth="1"/>
    <col min="8203" max="8204" width="13.5546875" customWidth="1"/>
    <col min="8205" max="8205" width="13.44140625" bestFit="1" customWidth="1"/>
    <col min="8449" max="8449" width="6.109375" customWidth="1"/>
    <col min="8450" max="8450" width="28.109375" customWidth="1"/>
    <col min="8451" max="8451" width="13.88671875" customWidth="1"/>
    <col min="8452" max="8452" width="14.5546875" customWidth="1"/>
    <col min="8453" max="8453" width="15.5546875" customWidth="1"/>
    <col min="8454" max="8454" width="14.5546875" customWidth="1"/>
    <col min="8455" max="8455" width="16.5546875" customWidth="1"/>
    <col min="8456" max="8456" width="14.5546875" customWidth="1"/>
    <col min="8457" max="8457" width="11.5546875" customWidth="1"/>
    <col min="8458" max="8458" width="12.88671875" customWidth="1"/>
    <col min="8459" max="8460" width="13.5546875" customWidth="1"/>
    <col min="8461" max="8461" width="13.44140625" bestFit="1" customWidth="1"/>
    <col min="8705" max="8705" width="6.109375" customWidth="1"/>
    <col min="8706" max="8706" width="28.109375" customWidth="1"/>
    <col min="8707" max="8707" width="13.88671875" customWidth="1"/>
    <col min="8708" max="8708" width="14.5546875" customWidth="1"/>
    <col min="8709" max="8709" width="15.5546875" customWidth="1"/>
    <col min="8710" max="8710" width="14.5546875" customWidth="1"/>
    <col min="8711" max="8711" width="16.5546875" customWidth="1"/>
    <col min="8712" max="8712" width="14.5546875" customWidth="1"/>
    <col min="8713" max="8713" width="11.5546875" customWidth="1"/>
    <col min="8714" max="8714" width="12.88671875" customWidth="1"/>
    <col min="8715" max="8716" width="13.5546875" customWidth="1"/>
    <col min="8717" max="8717" width="13.44140625" bestFit="1" customWidth="1"/>
    <col min="8961" max="8961" width="6.109375" customWidth="1"/>
    <col min="8962" max="8962" width="28.109375" customWidth="1"/>
    <col min="8963" max="8963" width="13.88671875" customWidth="1"/>
    <col min="8964" max="8964" width="14.5546875" customWidth="1"/>
    <col min="8965" max="8965" width="15.5546875" customWidth="1"/>
    <col min="8966" max="8966" width="14.5546875" customWidth="1"/>
    <col min="8967" max="8967" width="16.5546875" customWidth="1"/>
    <col min="8968" max="8968" width="14.5546875" customWidth="1"/>
    <col min="8969" max="8969" width="11.5546875" customWidth="1"/>
    <col min="8970" max="8970" width="12.88671875" customWidth="1"/>
    <col min="8971" max="8972" width="13.5546875" customWidth="1"/>
    <col min="8973" max="8973" width="13.44140625" bestFit="1" customWidth="1"/>
    <col min="9217" max="9217" width="6.109375" customWidth="1"/>
    <col min="9218" max="9218" width="28.109375" customWidth="1"/>
    <col min="9219" max="9219" width="13.88671875" customWidth="1"/>
    <col min="9220" max="9220" width="14.5546875" customWidth="1"/>
    <col min="9221" max="9221" width="15.5546875" customWidth="1"/>
    <col min="9222" max="9222" width="14.5546875" customWidth="1"/>
    <col min="9223" max="9223" width="16.5546875" customWidth="1"/>
    <col min="9224" max="9224" width="14.5546875" customWidth="1"/>
    <col min="9225" max="9225" width="11.5546875" customWidth="1"/>
    <col min="9226" max="9226" width="12.88671875" customWidth="1"/>
    <col min="9227" max="9228" width="13.5546875" customWidth="1"/>
    <col min="9229" max="9229" width="13.44140625" bestFit="1" customWidth="1"/>
    <col min="9473" max="9473" width="6.109375" customWidth="1"/>
    <col min="9474" max="9474" width="28.109375" customWidth="1"/>
    <col min="9475" max="9475" width="13.88671875" customWidth="1"/>
    <col min="9476" max="9476" width="14.5546875" customWidth="1"/>
    <col min="9477" max="9477" width="15.5546875" customWidth="1"/>
    <col min="9478" max="9478" width="14.5546875" customWidth="1"/>
    <col min="9479" max="9479" width="16.5546875" customWidth="1"/>
    <col min="9480" max="9480" width="14.5546875" customWidth="1"/>
    <col min="9481" max="9481" width="11.5546875" customWidth="1"/>
    <col min="9482" max="9482" width="12.88671875" customWidth="1"/>
    <col min="9483" max="9484" width="13.5546875" customWidth="1"/>
    <col min="9485" max="9485" width="13.44140625" bestFit="1" customWidth="1"/>
    <col min="9729" max="9729" width="6.109375" customWidth="1"/>
    <col min="9730" max="9730" width="28.109375" customWidth="1"/>
    <col min="9731" max="9731" width="13.88671875" customWidth="1"/>
    <col min="9732" max="9732" width="14.5546875" customWidth="1"/>
    <col min="9733" max="9733" width="15.5546875" customWidth="1"/>
    <col min="9734" max="9734" width="14.5546875" customWidth="1"/>
    <col min="9735" max="9735" width="16.5546875" customWidth="1"/>
    <col min="9736" max="9736" width="14.5546875" customWidth="1"/>
    <col min="9737" max="9737" width="11.5546875" customWidth="1"/>
    <col min="9738" max="9738" width="12.88671875" customWidth="1"/>
    <col min="9739" max="9740" width="13.5546875" customWidth="1"/>
    <col min="9741" max="9741" width="13.44140625" bestFit="1" customWidth="1"/>
    <col min="9985" max="9985" width="6.109375" customWidth="1"/>
    <col min="9986" max="9986" width="28.109375" customWidth="1"/>
    <col min="9987" max="9987" width="13.88671875" customWidth="1"/>
    <col min="9988" max="9988" width="14.5546875" customWidth="1"/>
    <col min="9989" max="9989" width="15.5546875" customWidth="1"/>
    <col min="9990" max="9990" width="14.5546875" customWidth="1"/>
    <col min="9991" max="9991" width="16.5546875" customWidth="1"/>
    <col min="9992" max="9992" width="14.5546875" customWidth="1"/>
    <col min="9993" max="9993" width="11.5546875" customWidth="1"/>
    <col min="9994" max="9994" width="12.88671875" customWidth="1"/>
    <col min="9995" max="9996" width="13.5546875" customWidth="1"/>
    <col min="9997" max="9997" width="13.44140625" bestFit="1" customWidth="1"/>
    <col min="10241" max="10241" width="6.109375" customWidth="1"/>
    <col min="10242" max="10242" width="28.109375" customWidth="1"/>
    <col min="10243" max="10243" width="13.88671875" customWidth="1"/>
    <col min="10244" max="10244" width="14.5546875" customWidth="1"/>
    <col min="10245" max="10245" width="15.5546875" customWidth="1"/>
    <col min="10246" max="10246" width="14.5546875" customWidth="1"/>
    <col min="10247" max="10247" width="16.5546875" customWidth="1"/>
    <col min="10248" max="10248" width="14.5546875" customWidth="1"/>
    <col min="10249" max="10249" width="11.5546875" customWidth="1"/>
    <col min="10250" max="10250" width="12.88671875" customWidth="1"/>
    <col min="10251" max="10252" width="13.5546875" customWidth="1"/>
    <col min="10253" max="10253" width="13.44140625" bestFit="1" customWidth="1"/>
    <col min="10497" max="10497" width="6.109375" customWidth="1"/>
    <col min="10498" max="10498" width="28.109375" customWidth="1"/>
    <col min="10499" max="10499" width="13.88671875" customWidth="1"/>
    <col min="10500" max="10500" width="14.5546875" customWidth="1"/>
    <col min="10501" max="10501" width="15.5546875" customWidth="1"/>
    <col min="10502" max="10502" width="14.5546875" customWidth="1"/>
    <col min="10503" max="10503" width="16.5546875" customWidth="1"/>
    <col min="10504" max="10504" width="14.5546875" customWidth="1"/>
    <col min="10505" max="10505" width="11.5546875" customWidth="1"/>
    <col min="10506" max="10506" width="12.88671875" customWidth="1"/>
    <col min="10507" max="10508" width="13.5546875" customWidth="1"/>
    <col min="10509" max="10509" width="13.44140625" bestFit="1" customWidth="1"/>
    <col min="10753" max="10753" width="6.109375" customWidth="1"/>
    <col min="10754" max="10754" width="28.109375" customWidth="1"/>
    <col min="10755" max="10755" width="13.88671875" customWidth="1"/>
    <col min="10756" max="10756" width="14.5546875" customWidth="1"/>
    <col min="10757" max="10757" width="15.5546875" customWidth="1"/>
    <col min="10758" max="10758" width="14.5546875" customWidth="1"/>
    <col min="10759" max="10759" width="16.5546875" customWidth="1"/>
    <col min="10760" max="10760" width="14.5546875" customWidth="1"/>
    <col min="10761" max="10761" width="11.5546875" customWidth="1"/>
    <col min="10762" max="10762" width="12.88671875" customWidth="1"/>
    <col min="10763" max="10764" width="13.5546875" customWidth="1"/>
    <col min="10765" max="10765" width="13.44140625" bestFit="1" customWidth="1"/>
    <col min="11009" max="11009" width="6.109375" customWidth="1"/>
    <col min="11010" max="11010" width="28.109375" customWidth="1"/>
    <col min="11011" max="11011" width="13.88671875" customWidth="1"/>
    <col min="11012" max="11012" width="14.5546875" customWidth="1"/>
    <col min="11013" max="11013" width="15.5546875" customWidth="1"/>
    <col min="11014" max="11014" width="14.5546875" customWidth="1"/>
    <col min="11015" max="11015" width="16.5546875" customWidth="1"/>
    <col min="11016" max="11016" width="14.5546875" customWidth="1"/>
    <col min="11017" max="11017" width="11.5546875" customWidth="1"/>
    <col min="11018" max="11018" width="12.88671875" customWidth="1"/>
    <col min="11019" max="11020" width="13.5546875" customWidth="1"/>
    <col min="11021" max="11021" width="13.44140625" bestFit="1" customWidth="1"/>
    <col min="11265" max="11265" width="6.109375" customWidth="1"/>
    <col min="11266" max="11266" width="28.109375" customWidth="1"/>
    <col min="11267" max="11267" width="13.88671875" customWidth="1"/>
    <col min="11268" max="11268" width="14.5546875" customWidth="1"/>
    <col min="11269" max="11269" width="15.5546875" customWidth="1"/>
    <col min="11270" max="11270" width="14.5546875" customWidth="1"/>
    <col min="11271" max="11271" width="16.5546875" customWidth="1"/>
    <col min="11272" max="11272" width="14.5546875" customWidth="1"/>
    <col min="11273" max="11273" width="11.5546875" customWidth="1"/>
    <col min="11274" max="11274" width="12.88671875" customWidth="1"/>
    <col min="11275" max="11276" width="13.5546875" customWidth="1"/>
    <col min="11277" max="11277" width="13.44140625" bestFit="1" customWidth="1"/>
    <col min="11521" max="11521" width="6.109375" customWidth="1"/>
    <col min="11522" max="11522" width="28.109375" customWidth="1"/>
    <col min="11523" max="11523" width="13.88671875" customWidth="1"/>
    <col min="11524" max="11524" width="14.5546875" customWidth="1"/>
    <col min="11525" max="11525" width="15.5546875" customWidth="1"/>
    <col min="11526" max="11526" width="14.5546875" customWidth="1"/>
    <col min="11527" max="11527" width="16.5546875" customWidth="1"/>
    <col min="11528" max="11528" width="14.5546875" customWidth="1"/>
    <col min="11529" max="11529" width="11.5546875" customWidth="1"/>
    <col min="11530" max="11530" width="12.88671875" customWidth="1"/>
    <col min="11531" max="11532" width="13.5546875" customWidth="1"/>
    <col min="11533" max="11533" width="13.44140625" bestFit="1" customWidth="1"/>
    <col min="11777" max="11777" width="6.109375" customWidth="1"/>
    <col min="11778" max="11778" width="28.109375" customWidth="1"/>
    <col min="11779" max="11779" width="13.88671875" customWidth="1"/>
    <col min="11780" max="11780" width="14.5546875" customWidth="1"/>
    <col min="11781" max="11781" width="15.5546875" customWidth="1"/>
    <col min="11782" max="11782" width="14.5546875" customWidth="1"/>
    <col min="11783" max="11783" width="16.5546875" customWidth="1"/>
    <col min="11784" max="11784" width="14.5546875" customWidth="1"/>
    <col min="11785" max="11785" width="11.5546875" customWidth="1"/>
    <col min="11786" max="11786" width="12.88671875" customWidth="1"/>
    <col min="11787" max="11788" width="13.5546875" customWidth="1"/>
    <col min="11789" max="11789" width="13.44140625" bestFit="1" customWidth="1"/>
    <col min="12033" max="12033" width="6.109375" customWidth="1"/>
    <col min="12034" max="12034" width="28.109375" customWidth="1"/>
    <col min="12035" max="12035" width="13.88671875" customWidth="1"/>
    <col min="12036" max="12036" width="14.5546875" customWidth="1"/>
    <col min="12037" max="12037" width="15.5546875" customWidth="1"/>
    <col min="12038" max="12038" width="14.5546875" customWidth="1"/>
    <col min="12039" max="12039" width="16.5546875" customWidth="1"/>
    <col min="12040" max="12040" width="14.5546875" customWidth="1"/>
    <col min="12041" max="12041" width="11.5546875" customWidth="1"/>
    <col min="12042" max="12042" width="12.88671875" customWidth="1"/>
    <col min="12043" max="12044" width="13.5546875" customWidth="1"/>
    <col min="12045" max="12045" width="13.44140625" bestFit="1" customWidth="1"/>
    <col min="12289" max="12289" width="6.109375" customWidth="1"/>
    <col min="12290" max="12290" width="28.109375" customWidth="1"/>
    <col min="12291" max="12291" width="13.88671875" customWidth="1"/>
    <col min="12292" max="12292" width="14.5546875" customWidth="1"/>
    <col min="12293" max="12293" width="15.5546875" customWidth="1"/>
    <col min="12294" max="12294" width="14.5546875" customWidth="1"/>
    <col min="12295" max="12295" width="16.5546875" customWidth="1"/>
    <col min="12296" max="12296" width="14.5546875" customWidth="1"/>
    <col min="12297" max="12297" width="11.5546875" customWidth="1"/>
    <col min="12298" max="12298" width="12.88671875" customWidth="1"/>
    <col min="12299" max="12300" width="13.5546875" customWidth="1"/>
    <col min="12301" max="12301" width="13.44140625" bestFit="1" customWidth="1"/>
    <col min="12545" max="12545" width="6.109375" customWidth="1"/>
    <col min="12546" max="12546" width="28.109375" customWidth="1"/>
    <col min="12547" max="12547" width="13.88671875" customWidth="1"/>
    <col min="12548" max="12548" width="14.5546875" customWidth="1"/>
    <col min="12549" max="12549" width="15.5546875" customWidth="1"/>
    <col min="12550" max="12550" width="14.5546875" customWidth="1"/>
    <col min="12551" max="12551" width="16.5546875" customWidth="1"/>
    <col min="12552" max="12552" width="14.5546875" customWidth="1"/>
    <col min="12553" max="12553" width="11.5546875" customWidth="1"/>
    <col min="12554" max="12554" width="12.88671875" customWidth="1"/>
    <col min="12555" max="12556" width="13.5546875" customWidth="1"/>
    <col min="12557" max="12557" width="13.44140625" bestFit="1" customWidth="1"/>
    <col min="12801" max="12801" width="6.109375" customWidth="1"/>
    <col min="12802" max="12802" width="28.109375" customWidth="1"/>
    <col min="12803" max="12803" width="13.88671875" customWidth="1"/>
    <col min="12804" max="12804" width="14.5546875" customWidth="1"/>
    <col min="12805" max="12805" width="15.5546875" customWidth="1"/>
    <col min="12806" max="12806" width="14.5546875" customWidth="1"/>
    <col min="12807" max="12807" width="16.5546875" customWidth="1"/>
    <col min="12808" max="12808" width="14.5546875" customWidth="1"/>
    <col min="12809" max="12809" width="11.5546875" customWidth="1"/>
    <col min="12810" max="12810" width="12.88671875" customWidth="1"/>
    <col min="12811" max="12812" width="13.5546875" customWidth="1"/>
    <col min="12813" max="12813" width="13.44140625" bestFit="1" customWidth="1"/>
    <col min="13057" max="13057" width="6.109375" customWidth="1"/>
    <col min="13058" max="13058" width="28.109375" customWidth="1"/>
    <col min="13059" max="13059" width="13.88671875" customWidth="1"/>
    <col min="13060" max="13060" width="14.5546875" customWidth="1"/>
    <col min="13061" max="13061" width="15.5546875" customWidth="1"/>
    <col min="13062" max="13062" width="14.5546875" customWidth="1"/>
    <col min="13063" max="13063" width="16.5546875" customWidth="1"/>
    <col min="13064" max="13064" width="14.5546875" customWidth="1"/>
    <col min="13065" max="13065" width="11.5546875" customWidth="1"/>
    <col min="13066" max="13066" width="12.88671875" customWidth="1"/>
    <col min="13067" max="13068" width="13.5546875" customWidth="1"/>
    <col min="13069" max="13069" width="13.44140625" bestFit="1" customWidth="1"/>
    <col min="13313" max="13313" width="6.109375" customWidth="1"/>
    <col min="13314" max="13314" width="28.109375" customWidth="1"/>
    <col min="13315" max="13315" width="13.88671875" customWidth="1"/>
    <col min="13316" max="13316" width="14.5546875" customWidth="1"/>
    <col min="13317" max="13317" width="15.5546875" customWidth="1"/>
    <col min="13318" max="13318" width="14.5546875" customWidth="1"/>
    <col min="13319" max="13319" width="16.5546875" customWidth="1"/>
    <col min="13320" max="13320" width="14.5546875" customWidth="1"/>
    <col min="13321" max="13321" width="11.5546875" customWidth="1"/>
    <col min="13322" max="13322" width="12.88671875" customWidth="1"/>
    <col min="13323" max="13324" width="13.5546875" customWidth="1"/>
    <col min="13325" max="13325" width="13.44140625" bestFit="1" customWidth="1"/>
    <col min="13569" max="13569" width="6.109375" customWidth="1"/>
    <col min="13570" max="13570" width="28.109375" customWidth="1"/>
    <col min="13571" max="13571" width="13.88671875" customWidth="1"/>
    <col min="13572" max="13572" width="14.5546875" customWidth="1"/>
    <col min="13573" max="13573" width="15.5546875" customWidth="1"/>
    <col min="13574" max="13574" width="14.5546875" customWidth="1"/>
    <col min="13575" max="13575" width="16.5546875" customWidth="1"/>
    <col min="13576" max="13576" width="14.5546875" customWidth="1"/>
    <col min="13577" max="13577" width="11.5546875" customWidth="1"/>
    <col min="13578" max="13578" width="12.88671875" customWidth="1"/>
    <col min="13579" max="13580" width="13.5546875" customWidth="1"/>
    <col min="13581" max="13581" width="13.44140625" bestFit="1" customWidth="1"/>
    <col min="13825" max="13825" width="6.109375" customWidth="1"/>
    <col min="13826" max="13826" width="28.109375" customWidth="1"/>
    <col min="13827" max="13827" width="13.88671875" customWidth="1"/>
    <col min="13828" max="13828" width="14.5546875" customWidth="1"/>
    <col min="13829" max="13829" width="15.5546875" customWidth="1"/>
    <col min="13830" max="13830" width="14.5546875" customWidth="1"/>
    <col min="13831" max="13831" width="16.5546875" customWidth="1"/>
    <col min="13832" max="13832" width="14.5546875" customWidth="1"/>
    <col min="13833" max="13833" width="11.5546875" customWidth="1"/>
    <col min="13834" max="13834" width="12.88671875" customWidth="1"/>
    <col min="13835" max="13836" width="13.5546875" customWidth="1"/>
    <col min="13837" max="13837" width="13.44140625" bestFit="1" customWidth="1"/>
    <col min="14081" max="14081" width="6.109375" customWidth="1"/>
    <col min="14082" max="14082" width="28.109375" customWidth="1"/>
    <col min="14083" max="14083" width="13.88671875" customWidth="1"/>
    <col min="14084" max="14084" width="14.5546875" customWidth="1"/>
    <col min="14085" max="14085" width="15.5546875" customWidth="1"/>
    <col min="14086" max="14086" width="14.5546875" customWidth="1"/>
    <col min="14087" max="14087" width="16.5546875" customWidth="1"/>
    <col min="14088" max="14088" width="14.5546875" customWidth="1"/>
    <col min="14089" max="14089" width="11.5546875" customWidth="1"/>
    <col min="14090" max="14090" width="12.88671875" customWidth="1"/>
    <col min="14091" max="14092" width="13.5546875" customWidth="1"/>
    <col min="14093" max="14093" width="13.44140625" bestFit="1" customWidth="1"/>
    <col min="14337" max="14337" width="6.109375" customWidth="1"/>
    <col min="14338" max="14338" width="28.109375" customWidth="1"/>
    <col min="14339" max="14339" width="13.88671875" customWidth="1"/>
    <col min="14340" max="14340" width="14.5546875" customWidth="1"/>
    <col min="14341" max="14341" width="15.5546875" customWidth="1"/>
    <col min="14342" max="14342" width="14.5546875" customWidth="1"/>
    <col min="14343" max="14343" width="16.5546875" customWidth="1"/>
    <col min="14344" max="14344" width="14.5546875" customWidth="1"/>
    <col min="14345" max="14345" width="11.5546875" customWidth="1"/>
    <col min="14346" max="14346" width="12.88671875" customWidth="1"/>
    <col min="14347" max="14348" width="13.5546875" customWidth="1"/>
    <col min="14349" max="14349" width="13.44140625" bestFit="1" customWidth="1"/>
    <col min="14593" max="14593" width="6.109375" customWidth="1"/>
    <col min="14594" max="14594" width="28.109375" customWidth="1"/>
    <col min="14595" max="14595" width="13.88671875" customWidth="1"/>
    <col min="14596" max="14596" width="14.5546875" customWidth="1"/>
    <col min="14597" max="14597" width="15.5546875" customWidth="1"/>
    <col min="14598" max="14598" width="14.5546875" customWidth="1"/>
    <col min="14599" max="14599" width="16.5546875" customWidth="1"/>
    <col min="14600" max="14600" width="14.5546875" customWidth="1"/>
    <col min="14601" max="14601" width="11.5546875" customWidth="1"/>
    <col min="14602" max="14602" width="12.88671875" customWidth="1"/>
    <col min="14603" max="14604" width="13.5546875" customWidth="1"/>
    <col min="14605" max="14605" width="13.44140625" bestFit="1" customWidth="1"/>
    <col min="14849" max="14849" width="6.109375" customWidth="1"/>
    <col min="14850" max="14850" width="28.109375" customWidth="1"/>
    <col min="14851" max="14851" width="13.88671875" customWidth="1"/>
    <col min="14852" max="14852" width="14.5546875" customWidth="1"/>
    <col min="14853" max="14853" width="15.5546875" customWidth="1"/>
    <col min="14854" max="14854" width="14.5546875" customWidth="1"/>
    <col min="14855" max="14855" width="16.5546875" customWidth="1"/>
    <col min="14856" max="14856" width="14.5546875" customWidth="1"/>
    <col min="14857" max="14857" width="11.5546875" customWidth="1"/>
    <col min="14858" max="14858" width="12.88671875" customWidth="1"/>
    <col min="14859" max="14860" width="13.5546875" customWidth="1"/>
    <col min="14861" max="14861" width="13.44140625" bestFit="1" customWidth="1"/>
    <col min="15105" max="15105" width="6.109375" customWidth="1"/>
    <col min="15106" max="15106" width="28.109375" customWidth="1"/>
    <col min="15107" max="15107" width="13.88671875" customWidth="1"/>
    <col min="15108" max="15108" width="14.5546875" customWidth="1"/>
    <col min="15109" max="15109" width="15.5546875" customWidth="1"/>
    <col min="15110" max="15110" width="14.5546875" customWidth="1"/>
    <col min="15111" max="15111" width="16.5546875" customWidth="1"/>
    <col min="15112" max="15112" width="14.5546875" customWidth="1"/>
    <col min="15113" max="15113" width="11.5546875" customWidth="1"/>
    <col min="15114" max="15114" width="12.88671875" customWidth="1"/>
    <col min="15115" max="15116" width="13.5546875" customWidth="1"/>
    <col min="15117" max="15117" width="13.44140625" bestFit="1" customWidth="1"/>
    <col min="15361" max="15361" width="6.109375" customWidth="1"/>
    <col min="15362" max="15362" width="28.109375" customWidth="1"/>
    <col min="15363" max="15363" width="13.88671875" customWidth="1"/>
    <col min="15364" max="15364" width="14.5546875" customWidth="1"/>
    <col min="15365" max="15365" width="15.5546875" customWidth="1"/>
    <col min="15366" max="15366" width="14.5546875" customWidth="1"/>
    <col min="15367" max="15367" width="16.5546875" customWidth="1"/>
    <col min="15368" max="15368" width="14.5546875" customWidth="1"/>
    <col min="15369" max="15369" width="11.5546875" customWidth="1"/>
    <col min="15370" max="15370" width="12.88671875" customWidth="1"/>
    <col min="15371" max="15372" width="13.5546875" customWidth="1"/>
    <col min="15373" max="15373" width="13.44140625" bestFit="1" customWidth="1"/>
    <col min="15617" max="15617" width="6.109375" customWidth="1"/>
    <col min="15618" max="15618" width="28.109375" customWidth="1"/>
    <col min="15619" max="15619" width="13.88671875" customWidth="1"/>
    <col min="15620" max="15620" width="14.5546875" customWidth="1"/>
    <col min="15621" max="15621" width="15.5546875" customWidth="1"/>
    <col min="15622" max="15622" width="14.5546875" customWidth="1"/>
    <col min="15623" max="15623" width="16.5546875" customWidth="1"/>
    <col min="15624" max="15624" width="14.5546875" customWidth="1"/>
    <col min="15625" max="15625" width="11.5546875" customWidth="1"/>
    <col min="15626" max="15626" width="12.88671875" customWidth="1"/>
    <col min="15627" max="15628" width="13.5546875" customWidth="1"/>
    <col min="15629" max="15629" width="13.44140625" bestFit="1" customWidth="1"/>
    <col min="15873" max="15873" width="6.109375" customWidth="1"/>
    <col min="15874" max="15874" width="28.109375" customWidth="1"/>
    <col min="15875" max="15875" width="13.88671875" customWidth="1"/>
    <col min="15876" max="15876" width="14.5546875" customWidth="1"/>
    <col min="15877" max="15877" width="15.5546875" customWidth="1"/>
    <col min="15878" max="15878" width="14.5546875" customWidth="1"/>
    <col min="15879" max="15879" width="16.5546875" customWidth="1"/>
    <col min="15880" max="15880" width="14.5546875" customWidth="1"/>
    <col min="15881" max="15881" width="11.5546875" customWidth="1"/>
    <col min="15882" max="15882" width="12.88671875" customWidth="1"/>
    <col min="15883" max="15884" width="13.5546875" customWidth="1"/>
    <col min="15885" max="15885" width="13.44140625" bestFit="1" customWidth="1"/>
    <col min="16129" max="16129" width="6.109375" customWidth="1"/>
    <col min="16130" max="16130" width="28.109375" customWidth="1"/>
    <col min="16131" max="16131" width="13.88671875" customWidth="1"/>
    <col min="16132" max="16132" width="14.5546875" customWidth="1"/>
    <col min="16133" max="16133" width="15.5546875" customWidth="1"/>
    <col min="16134" max="16134" width="14.5546875" customWidth="1"/>
    <col min="16135" max="16135" width="16.5546875" customWidth="1"/>
    <col min="16136" max="16136" width="14.5546875" customWidth="1"/>
    <col min="16137" max="16137" width="11.5546875" customWidth="1"/>
    <col min="16138" max="16138" width="12.88671875" customWidth="1"/>
    <col min="16139" max="16140" width="13.5546875" customWidth="1"/>
    <col min="16141" max="16141" width="13.44140625" bestFit="1" customWidth="1"/>
  </cols>
  <sheetData>
    <row r="1" spans="1:14" ht="18" x14ac:dyDescent="0.35">
      <c r="B1" s="29" t="s">
        <v>609</v>
      </c>
    </row>
    <row r="2" spans="1:14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0"/>
      <c r="N2" s="32"/>
    </row>
    <row r="3" spans="1:14" s="40" customFormat="1" x14ac:dyDescent="0.3">
      <c r="A3" s="33"/>
      <c r="B3" s="868" t="s">
        <v>236</v>
      </c>
      <c r="C3" s="34" t="s">
        <v>1</v>
      </c>
      <c r="D3" s="35" t="s">
        <v>2</v>
      </c>
      <c r="E3" s="36" t="s">
        <v>3</v>
      </c>
      <c r="F3" s="36" t="s">
        <v>4</v>
      </c>
      <c r="G3" s="36" t="s">
        <v>5</v>
      </c>
      <c r="H3" s="36" t="s">
        <v>6</v>
      </c>
      <c r="I3" s="37" t="s">
        <v>7</v>
      </c>
      <c r="J3" s="37" t="s">
        <v>8</v>
      </c>
      <c r="K3" s="37" t="s">
        <v>9</v>
      </c>
      <c r="L3" s="37" t="s">
        <v>10</v>
      </c>
      <c r="M3" s="38"/>
      <c r="N3" s="39"/>
    </row>
    <row r="4" spans="1:14" ht="91.35" customHeight="1" x14ac:dyDescent="0.3">
      <c r="A4" s="41"/>
      <c r="B4" s="869"/>
      <c r="C4" s="42" t="s">
        <v>190</v>
      </c>
      <c r="D4" s="36" t="s">
        <v>12</v>
      </c>
      <c r="E4" s="36" t="s">
        <v>13</v>
      </c>
      <c r="F4" s="36" t="s">
        <v>14</v>
      </c>
      <c r="G4" s="36" t="s">
        <v>15</v>
      </c>
      <c r="H4" s="36" t="s">
        <v>191</v>
      </c>
      <c r="I4" s="43" t="s">
        <v>17</v>
      </c>
      <c r="J4" s="43" t="s">
        <v>18</v>
      </c>
      <c r="K4" s="43" t="s">
        <v>2337</v>
      </c>
      <c r="L4" s="43" t="s">
        <v>360</v>
      </c>
      <c r="M4" s="36" t="s">
        <v>193</v>
      </c>
      <c r="N4" s="32"/>
    </row>
    <row r="5" spans="1:14" s="40" customFormat="1" x14ac:dyDescent="0.3">
      <c r="A5" s="44"/>
      <c r="B5" s="45" t="s">
        <v>610</v>
      </c>
      <c r="C5" s="582">
        <v>3859349.29</v>
      </c>
      <c r="D5" s="583">
        <v>2881208</v>
      </c>
      <c r="E5" s="50">
        <v>26149.200000000001</v>
      </c>
      <c r="F5" s="50">
        <v>778106.99</v>
      </c>
      <c r="G5" s="50">
        <v>1766464.91</v>
      </c>
      <c r="H5" s="50"/>
      <c r="I5" s="50">
        <v>103460</v>
      </c>
      <c r="J5" s="50">
        <v>7900.02</v>
      </c>
      <c r="K5" s="50">
        <v>199126.88</v>
      </c>
      <c r="L5" s="90">
        <v>0</v>
      </c>
      <c r="M5" s="92">
        <v>89</v>
      </c>
      <c r="N5" s="39"/>
    </row>
    <row r="6" spans="1:14" x14ac:dyDescent="0.3">
      <c r="A6" s="51"/>
      <c r="B6" s="52"/>
      <c r="C6" s="50"/>
      <c r="D6" s="583"/>
      <c r="E6" s="50"/>
      <c r="F6" s="50"/>
      <c r="G6" s="50"/>
      <c r="H6" s="50"/>
      <c r="I6" s="50"/>
      <c r="J6" s="50"/>
      <c r="K6" s="50"/>
      <c r="L6" s="50"/>
      <c r="M6" s="19"/>
      <c r="N6" s="32"/>
    </row>
    <row r="7" spans="1:14" x14ac:dyDescent="0.3">
      <c r="A7" s="30"/>
      <c r="B7" s="30"/>
      <c r="C7" s="30"/>
      <c r="D7" s="584"/>
      <c r="E7" s="584"/>
      <c r="F7" s="584"/>
      <c r="G7" s="584"/>
      <c r="H7" s="584"/>
      <c r="I7" s="584"/>
      <c r="J7" s="584"/>
      <c r="K7" s="584"/>
      <c r="L7" s="31"/>
      <c r="N7" s="32"/>
    </row>
    <row r="8" spans="1:14" x14ac:dyDescent="0.3">
      <c r="A8" s="30"/>
      <c r="B8" s="30"/>
      <c r="C8" s="30"/>
      <c r="D8" s="584"/>
      <c r="E8" s="584"/>
      <c r="F8" s="584"/>
      <c r="G8" s="584"/>
      <c r="H8" s="584"/>
      <c r="I8" s="584"/>
      <c r="J8" s="850" t="s">
        <v>217</v>
      </c>
      <c r="K8" s="55" t="s">
        <v>2338</v>
      </c>
      <c r="L8" s="31"/>
      <c r="N8" s="32"/>
    </row>
    <row r="9" spans="1:14" x14ac:dyDescent="0.3">
      <c r="A9" s="30"/>
      <c r="B9" s="30"/>
      <c r="C9" s="30"/>
      <c r="D9" s="94"/>
      <c r="E9" s="94"/>
      <c r="F9" s="94"/>
      <c r="G9" s="94"/>
      <c r="H9" s="585"/>
      <c r="I9" s="94"/>
      <c r="J9" s="94"/>
      <c r="K9" s="94"/>
      <c r="L9" s="31"/>
      <c r="M9" s="30"/>
      <c r="N9" s="32"/>
    </row>
    <row r="10" spans="1:14" x14ac:dyDescent="0.3">
      <c r="A10" s="30"/>
      <c r="B10" s="95" t="s">
        <v>197</v>
      </c>
      <c r="C10" s="30"/>
      <c r="D10" s="30"/>
      <c r="E10" s="30"/>
      <c r="F10" s="30"/>
      <c r="G10" s="30"/>
      <c r="H10" s="30"/>
      <c r="I10" s="55"/>
      <c r="J10" s="95"/>
      <c r="K10" s="30"/>
      <c r="L10" s="30"/>
      <c r="M10" s="30"/>
    </row>
    <row r="11" spans="1:14" s="40" customFormat="1" ht="43.2" x14ac:dyDescent="0.3">
      <c r="A11" s="17" t="s">
        <v>189</v>
      </c>
      <c r="B11" s="23" t="s">
        <v>361</v>
      </c>
      <c r="C11" s="23" t="s">
        <v>199</v>
      </c>
      <c r="D11" s="23" t="s">
        <v>200</v>
      </c>
      <c r="E11" s="23" t="s">
        <v>201</v>
      </c>
      <c r="F11" s="23" t="s">
        <v>202</v>
      </c>
      <c r="G11" s="23" t="s">
        <v>53</v>
      </c>
      <c r="H11" s="23" t="s">
        <v>203</v>
      </c>
      <c r="I11" s="586"/>
      <c r="J11" s="56"/>
      <c r="K11" s="56"/>
      <c r="L11" s="96"/>
      <c r="M11" s="96"/>
    </row>
    <row r="12" spans="1:14" s="24" customFormat="1" x14ac:dyDescent="0.3">
      <c r="A12" s="17" t="s">
        <v>69</v>
      </c>
      <c r="B12" s="23" t="s">
        <v>611</v>
      </c>
      <c r="C12" s="23">
        <v>1986</v>
      </c>
      <c r="D12" s="23"/>
      <c r="E12" s="78"/>
      <c r="F12" s="78" t="s">
        <v>401</v>
      </c>
      <c r="G12" s="23"/>
      <c r="H12" s="97">
        <v>6</v>
      </c>
      <c r="I12" s="586"/>
      <c r="J12" s="56"/>
      <c r="K12" s="56"/>
    </row>
    <row r="13" spans="1:14" s="24" customFormat="1" x14ac:dyDescent="0.3">
      <c r="A13" s="17" t="s">
        <v>71</v>
      </c>
      <c r="B13" s="23" t="s">
        <v>612</v>
      </c>
      <c r="C13" s="23">
        <v>1878</v>
      </c>
      <c r="D13" s="23">
        <v>2015</v>
      </c>
      <c r="E13" s="23" t="s">
        <v>613</v>
      </c>
      <c r="F13" s="23" t="s">
        <v>401</v>
      </c>
      <c r="G13" s="23"/>
      <c r="H13" s="97">
        <v>1</v>
      </c>
      <c r="I13" s="586"/>
      <c r="J13" s="56"/>
      <c r="K13" s="56"/>
    </row>
    <row r="14" spans="1:14" s="24" customFormat="1" x14ac:dyDescent="0.3">
      <c r="A14" s="17" t="s">
        <v>73</v>
      </c>
      <c r="B14" s="23" t="s">
        <v>614</v>
      </c>
      <c r="C14" s="23">
        <v>2007</v>
      </c>
      <c r="D14" s="23"/>
      <c r="E14" s="23"/>
      <c r="F14" s="23" t="s">
        <v>401</v>
      </c>
      <c r="G14" s="23"/>
      <c r="H14" s="97">
        <v>4</v>
      </c>
      <c r="I14" s="586"/>
      <c r="J14" s="56"/>
      <c r="K14" s="56"/>
    </row>
    <row r="15" spans="1:14" s="1" customFormat="1" x14ac:dyDescent="0.3">
      <c r="A15" s="17" t="s">
        <v>349</v>
      </c>
      <c r="B15" s="23" t="s">
        <v>615</v>
      </c>
      <c r="C15" s="23">
        <v>1948</v>
      </c>
      <c r="D15" s="23"/>
      <c r="E15" s="23"/>
      <c r="F15" s="23" t="s">
        <v>401</v>
      </c>
      <c r="G15" s="23"/>
      <c r="H15" s="97">
        <v>3</v>
      </c>
      <c r="I15" s="586"/>
      <c r="J15" s="56"/>
      <c r="K15" s="56"/>
    </row>
    <row r="16" spans="1:14" s="1" customFormat="1" x14ac:dyDescent="0.3">
      <c r="A16" s="17" t="s">
        <v>541</v>
      </c>
      <c r="B16" s="23" t="s">
        <v>616</v>
      </c>
      <c r="C16" s="23">
        <v>1960</v>
      </c>
      <c r="D16" s="23"/>
      <c r="E16" s="23"/>
      <c r="F16" s="23" t="s">
        <v>401</v>
      </c>
      <c r="G16" s="23"/>
      <c r="H16" s="97">
        <v>4</v>
      </c>
      <c r="I16" s="586"/>
      <c r="J16" s="56"/>
      <c r="K16" s="56"/>
    </row>
    <row r="17" spans="1:27" s="1" customFormat="1" x14ac:dyDescent="0.3">
      <c r="A17" s="17" t="s">
        <v>543</v>
      </c>
      <c r="B17" s="23" t="s">
        <v>617</v>
      </c>
      <c r="C17" s="23">
        <v>1920</v>
      </c>
      <c r="D17" s="23">
        <v>1995</v>
      </c>
      <c r="E17" s="23" t="s">
        <v>618</v>
      </c>
      <c r="F17" s="23" t="s">
        <v>401</v>
      </c>
      <c r="G17" s="23">
        <v>125.94</v>
      </c>
      <c r="H17" s="97">
        <v>6</v>
      </c>
      <c r="I17" s="586"/>
      <c r="J17" s="56"/>
      <c r="K17" s="56"/>
    </row>
    <row r="18" spans="1:27" s="1" customFormat="1" x14ac:dyDescent="0.3">
      <c r="A18" s="17" t="s">
        <v>546</v>
      </c>
      <c r="B18" s="23" t="s">
        <v>619</v>
      </c>
      <c r="C18" s="23">
        <v>1960</v>
      </c>
      <c r="D18" s="23"/>
      <c r="E18" s="23"/>
      <c r="F18" s="23" t="s">
        <v>401</v>
      </c>
      <c r="G18" s="23"/>
      <c r="H18" s="97">
        <v>2</v>
      </c>
      <c r="I18" s="586"/>
      <c r="J18" s="56"/>
      <c r="K18" s="56"/>
    </row>
    <row r="19" spans="1:27" s="1" customFormat="1" x14ac:dyDescent="0.3">
      <c r="A19" s="17" t="s">
        <v>548</v>
      </c>
      <c r="B19" s="23" t="s">
        <v>620</v>
      </c>
      <c r="C19" s="23">
        <v>2015</v>
      </c>
      <c r="D19" s="23"/>
      <c r="E19" s="23"/>
      <c r="F19" s="23" t="s">
        <v>401</v>
      </c>
      <c r="G19" s="23">
        <v>157.80000000000001</v>
      </c>
      <c r="H19" s="97">
        <v>3</v>
      </c>
      <c r="I19" s="586"/>
      <c r="J19" s="56"/>
      <c r="K19" s="56"/>
    </row>
    <row r="20" spans="1:27" s="1" customFormat="1" x14ac:dyDescent="0.3">
      <c r="A20" s="17" t="s">
        <v>565</v>
      </c>
      <c r="B20" s="23" t="s">
        <v>621</v>
      </c>
      <c r="C20" s="23">
        <v>2001</v>
      </c>
      <c r="D20" s="23"/>
      <c r="E20" s="23"/>
      <c r="F20" s="23" t="s">
        <v>401</v>
      </c>
      <c r="G20" s="23"/>
      <c r="H20" s="97">
        <v>2</v>
      </c>
      <c r="I20" s="586"/>
      <c r="J20" s="56"/>
      <c r="K20" s="56"/>
    </row>
    <row r="21" spans="1:27" s="1" customFormat="1" x14ac:dyDescent="0.3">
      <c r="A21" s="17" t="s">
        <v>622</v>
      </c>
      <c r="B21" s="23" t="s">
        <v>623</v>
      </c>
      <c r="C21" s="23">
        <v>1930</v>
      </c>
      <c r="D21" s="23">
        <v>1990</v>
      </c>
      <c r="E21" s="23" t="s">
        <v>624</v>
      </c>
      <c r="F21" s="23" t="s">
        <v>401</v>
      </c>
      <c r="G21" s="23"/>
      <c r="H21" s="97">
        <v>4</v>
      </c>
      <c r="I21" s="586"/>
      <c r="J21" s="56"/>
      <c r="K21" s="56"/>
    </row>
    <row r="22" spans="1:27" s="1" customFormat="1" x14ac:dyDescent="0.3">
      <c r="A22" s="17" t="s">
        <v>625</v>
      </c>
      <c r="B22" s="23" t="s">
        <v>626</v>
      </c>
      <c r="C22" s="23">
        <v>1982</v>
      </c>
      <c r="D22" s="23"/>
      <c r="E22" s="23"/>
      <c r="F22" s="23" t="s">
        <v>401</v>
      </c>
      <c r="G22" s="23"/>
      <c r="H22" s="97">
        <v>2</v>
      </c>
      <c r="I22" s="586"/>
      <c r="J22" s="56"/>
      <c r="K22" s="56"/>
    </row>
    <row r="23" spans="1:27" s="1" customFormat="1" x14ac:dyDescent="0.3">
      <c r="A23" s="17" t="s">
        <v>627</v>
      </c>
      <c r="B23" s="23" t="s">
        <v>628</v>
      </c>
      <c r="C23" s="23">
        <v>2018</v>
      </c>
      <c r="D23" s="23"/>
      <c r="E23" s="23"/>
      <c r="F23" s="23" t="s">
        <v>401</v>
      </c>
      <c r="G23" s="23"/>
      <c r="H23" s="97">
        <v>2</v>
      </c>
      <c r="I23" s="586"/>
      <c r="J23" s="56"/>
      <c r="K23" s="56"/>
    </row>
    <row r="24" spans="1:27" s="1" customFormat="1" x14ac:dyDescent="0.3">
      <c r="A24"/>
      <c r="B24" s="56"/>
      <c r="C24"/>
      <c r="D24" s="56"/>
      <c r="E24"/>
      <c r="F24"/>
      <c r="G24"/>
      <c r="H24"/>
      <c r="I24"/>
      <c r="J24"/>
    </row>
    <row r="25" spans="1:27" s="1" customFormat="1" x14ac:dyDescent="0.3">
      <c r="A25"/>
      <c r="B25" s="316" t="s">
        <v>372</v>
      </c>
      <c r="C25"/>
      <c r="D25" s="56"/>
      <c r="E25"/>
      <c r="F25"/>
      <c r="G25"/>
      <c r="H25"/>
      <c r="I25"/>
      <c r="J25"/>
    </row>
    <row r="26" spans="1:27" s="1" customFormat="1" ht="96.6" customHeight="1" x14ac:dyDescent="0.3">
      <c r="A26" s="41" t="s">
        <v>189</v>
      </c>
      <c r="B26" s="317" t="s">
        <v>629</v>
      </c>
      <c r="C26" s="36" t="s">
        <v>374</v>
      </c>
      <c r="D26" s="36" t="s">
        <v>630</v>
      </c>
      <c r="E26" s="36" t="s">
        <v>631</v>
      </c>
      <c r="F26" s="36" t="s">
        <v>632</v>
      </c>
      <c r="G26" s="36" t="s">
        <v>633</v>
      </c>
      <c r="H26" s="36" t="s">
        <v>634</v>
      </c>
      <c r="I26"/>
      <c r="J26" s="89"/>
      <c r="K26" s="89"/>
      <c r="L26" s="89"/>
      <c r="M26" s="89"/>
      <c r="N26" s="89"/>
      <c r="O26" s="89"/>
    </row>
    <row r="27" spans="1:27" s="1" customFormat="1" x14ac:dyDescent="0.3">
      <c r="A27" s="360">
        <v>1</v>
      </c>
      <c r="B27" s="23" t="s">
        <v>611</v>
      </c>
      <c r="C27" s="587">
        <v>2106130.4900000002</v>
      </c>
      <c r="D27" s="588">
        <f>47138.36+5423.31+884612.85+11717.59+4275.18+195.68+15838.69+4359.35+1598.39</f>
        <v>975159.4</v>
      </c>
      <c r="E27" s="588">
        <f>4098.34+591.21+1588.21+8120.75+19792.43+3593.75+6915.96+2051.27+82676.25+11107.96+7701.76+8647.45+2747.79+8445.18+22736.06+5102.07+11225.27+7977.72+17163.23+3126.23+17343.97+9839.07+7630.1+568.1+11.68+183.47+35.06+114.89+64.26+898.03+8596.8+96+646.05+875.86+355.05+294.47+1123.21+11588.88+1048.45+1388.57+2341.65+3431.09+1698.8+3541.61+4770.96+2630.93+3051.8+1753.88+1844.12+523.66+799.55+35.26</f>
        <v>324534.17</v>
      </c>
      <c r="F27" s="588">
        <f>1195.5+774.09+849.2+725.6+1221.46+1283.29+359.21+27090.01+1386.27+685.08+718.93+1350.53+788.97+754.79+1813.66+1702.19+649.81+2897.34+759.1+688.94+775.86+691.89+289.48+472.61+567.61+918.58+61.89+219.76+461.98+760.63+845.71+942.78+549.47+196.43+339.52+872.83+416.81+425.39+656.63+532.23+580.69+661.5</f>
        <v>59934.250000000015</v>
      </c>
      <c r="G27" s="533">
        <v>11793</v>
      </c>
      <c r="H27" s="533">
        <f t="shared" ref="H27:H42" si="0">D27+E27+F27+G27</f>
        <v>1371420.82</v>
      </c>
      <c r="I27" s="57"/>
      <c r="J27" s="589"/>
      <c r="K27" s="590"/>
      <c r="L27" s="590"/>
      <c r="M27" s="590"/>
      <c r="N27" s="536"/>
      <c r="O27" s="536"/>
    </row>
    <row r="28" spans="1:27" s="1" customFormat="1" x14ac:dyDescent="0.3">
      <c r="A28" s="360">
        <v>2</v>
      </c>
      <c r="B28" s="23" t="s">
        <v>635</v>
      </c>
      <c r="C28" s="591">
        <v>0</v>
      </c>
      <c r="D28" s="588">
        <f>27248.07+179.3+373.47</f>
        <v>27800.84</v>
      </c>
      <c r="E28" s="588">
        <f>657.8</f>
        <v>657.8</v>
      </c>
      <c r="F28" s="588">
        <f>1434.59+417.34</f>
        <v>1851.9299999999998</v>
      </c>
      <c r="G28" s="592">
        <v>0</v>
      </c>
      <c r="H28" s="533">
        <f t="shared" si="0"/>
        <v>30310.57</v>
      </c>
      <c r="I28" s="57"/>
      <c r="J28" s="593"/>
      <c r="K28" s="590"/>
      <c r="L28" s="590"/>
      <c r="M28" s="590"/>
      <c r="N28" s="594"/>
      <c r="O28" s="536"/>
    </row>
    <row r="29" spans="1:27" s="1" customFormat="1" x14ac:dyDescent="0.3">
      <c r="A29" s="360">
        <v>3</v>
      </c>
      <c r="B29" s="23" t="s">
        <v>636</v>
      </c>
      <c r="C29" s="591">
        <v>0</v>
      </c>
      <c r="D29" s="588">
        <f>1094.34+37284.96+249.88+659.57</f>
        <v>39288.749999999993</v>
      </c>
      <c r="E29" s="588">
        <f>20073.81+2433.11</f>
        <v>22506.920000000002</v>
      </c>
      <c r="F29" s="588">
        <f>728.73+813.12</f>
        <v>1541.85</v>
      </c>
      <c r="G29" s="592">
        <v>0</v>
      </c>
      <c r="H29" s="533">
        <f t="shared" si="0"/>
        <v>63337.52</v>
      </c>
      <c r="I29" s="57"/>
      <c r="J29" s="593"/>
      <c r="K29" s="590"/>
      <c r="L29" s="590"/>
      <c r="M29" s="590"/>
      <c r="N29" s="594"/>
      <c r="O29" s="536"/>
    </row>
    <row r="30" spans="1:27" s="1" customFormat="1" x14ac:dyDescent="0.3">
      <c r="A30" s="360">
        <v>4</v>
      </c>
      <c r="B30" s="23" t="s">
        <v>637</v>
      </c>
      <c r="C30" s="591">
        <v>0</v>
      </c>
      <c r="D30" s="588">
        <f>1166.1+565.79+36774.38+274.94+108.22+1189.6</f>
        <v>40079.03</v>
      </c>
      <c r="E30" s="588">
        <f>14030.75+744.76</f>
        <v>14775.51</v>
      </c>
      <c r="F30" s="588">
        <f>816.01+758.58</f>
        <v>1574.5900000000001</v>
      </c>
      <c r="G30" s="592">
        <v>0</v>
      </c>
      <c r="H30" s="533">
        <f t="shared" si="0"/>
        <v>56429.130000000005</v>
      </c>
      <c r="I30" s="57"/>
      <c r="J30" s="593"/>
      <c r="K30" s="590"/>
      <c r="L30" s="590"/>
      <c r="M30" s="590"/>
      <c r="N30" s="594"/>
      <c r="O30" s="536"/>
    </row>
    <row r="31" spans="1:27" s="432" customFormat="1" ht="15.6" customHeight="1" x14ac:dyDescent="0.3">
      <c r="A31" s="360">
        <v>5</v>
      </c>
      <c r="B31" s="23" t="s">
        <v>612</v>
      </c>
      <c r="C31" s="587">
        <v>36000</v>
      </c>
      <c r="D31" s="588">
        <f>1856.27+1372.55</f>
        <v>3228.8199999999997</v>
      </c>
      <c r="E31" s="588">
        <f>6292.24+356</f>
        <v>6648.24</v>
      </c>
      <c r="F31" s="588">
        <f>0+309.92</f>
        <v>309.92</v>
      </c>
      <c r="G31" s="592">
        <v>0</v>
      </c>
      <c r="H31" s="533">
        <f t="shared" si="0"/>
        <v>10186.98</v>
      </c>
      <c r="I31" s="57"/>
      <c r="J31" s="589"/>
      <c r="K31" s="590"/>
      <c r="L31" s="590"/>
      <c r="M31" s="590"/>
      <c r="N31" s="594"/>
      <c r="O31" s="536"/>
      <c r="P31" s="431"/>
      <c r="Q31" s="431"/>
      <c r="R31" s="431"/>
      <c r="S31" s="431"/>
      <c r="T31" s="431"/>
      <c r="V31" s="431"/>
      <c r="W31" s="431"/>
      <c r="X31" s="431"/>
      <c r="Y31" s="431"/>
      <c r="Z31" s="431"/>
      <c r="AA31" s="431"/>
    </row>
    <row r="32" spans="1:27" s="432" customFormat="1" ht="15.6" customHeight="1" x14ac:dyDescent="0.3">
      <c r="A32" s="360">
        <v>6</v>
      </c>
      <c r="B32" s="23" t="s">
        <v>614</v>
      </c>
      <c r="C32" s="587">
        <v>237105.48</v>
      </c>
      <c r="D32" s="588">
        <f>2364.44+56835.35+1432.66+117.41+926.58+74.59</f>
        <v>61751.030000000006</v>
      </c>
      <c r="E32" s="588">
        <f>2113.71+3921.54+6164.54+2888.44+5331.54+3386.96+337.04</f>
        <v>24143.77</v>
      </c>
      <c r="F32" s="588">
        <f>708.93+906.95+451.88</f>
        <v>2067.7600000000002</v>
      </c>
      <c r="G32" s="592">
        <v>0</v>
      </c>
      <c r="H32" s="533">
        <f t="shared" si="0"/>
        <v>87962.559999999998</v>
      </c>
      <c r="I32" s="57"/>
      <c r="J32" s="589"/>
      <c r="K32" s="590"/>
      <c r="L32" s="590"/>
      <c r="M32" s="590"/>
      <c r="N32" s="594"/>
      <c r="O32" s="536"/>
      <c r="P32" s="431"/>
      <c r="Q32" s="431"/>
      <c r="R32" s="431"/>
      <c r="S32" s="431"/>
      <c r="T32" s="431"/>
      <c r="V32" s="431"/>
      <c r="W32" s="431"/>
      <c r="X32" s="431"/>
      <c r="Y32" s="431"/>
      <c r="Z32" s="431"/>
      <c r="AA32" s="431"/>
    </row>
    <row r="33" spans="1:27" s="432" customFormat="1" ht="15.6" customHeight="1" x14ac:dyDescent="0.3">
      <c r="A33" s="360">
        <v>7</v>
      </c>
      <c r="B33" s="23" t="s">
        <v>615</v>
      </c>
      <c r="C33" s="587">
        <v>50000</v>
      </c>
      <c r="D33" s="588">
        <f>993.98+35841.36+988.89+384.89+74.59</f>
        <v>38283.71</v>
      </c>
      <c r="E33" s="588">
        <f>24724.76+8546.85</f>
        <v>33271.61</v>
      </c>
      <c r="F33" s="588">
        <f>707.65+328.28</f>
        <v>1035.9299999999998</v>
      </c>
      <c r="G33" s="592">
        <v>0</v>
      </c>
      <c r="H33" s="533">
        <f t="shared" si="0"/>
        <v>72591.25</v>
      </c>
      <c r="I33" s="57"/>
      <c r="J33" s="589"/>
      <c r="K33" s="590"/>
      <c r="L33" s="590"/>
      <c r="M33" s="590"/>
      <c r="N33" s="594"/>
      <c r="O33" s="536"/>
      <c r="P33" s="431"/>
      <c r="Q33" s="431"/>
      <c r="R33" s="431"/>
      <c r="S33" s="431"/>
      <c r="T33" s="431"/>
      <c r="V33" s="431"/>
      <c r="W33" s="431"/>
      <c r="X33" s="431"/>
      <c r="Y33" s="431"/>
      <c r="Z33" s="431"/>
      <c r="AA33" s="431"/>
    </row>
    <row r="34" spans="1:27" s="432" customFormat="1" ht="15.6" customHeight="1" x14ac:dyDescent="0.3">
      <c r="A34" s="360">
        <v>8</v>
      </c>
      <c r="B34" s="23" t="s">
        <v>616</v>
      </c>
      <c r="C34" s="587">
        <v>546000</v>
      </c>
      <c r="D34" s="588">
        <f>11652.04+221173.29+6799.91+1855.9+71.74+4698.89+2949.79+1290.23</f>
        <v>250491.79000000004</v>
      </c>
      <c r="E34" s="588">
        <f>1457.64+21014.03+15403.62+868.45+12530.74+9131.67+15318.75+23166.29+19777.47+7007.87+66.48+4231.85+1142.2+367.62+2358.12+2418.1+510.74+6205.97+1471.85+139.42</f>
        <v>144588.88</v>
      </c>
      <c r="F34" s="588">
        <f>743.7+816.01+685.08+815.99+649.81+2974.44+274.61+61.89+332.83+600.21+489.14+291.32+334.85+556.33</f>
        <v>9626.2099999999991</v>
      </c>
      <c r="G34" s="533">
        <v>14356.2</v>
      </c>
      <c r="H34" s="533">
        <f t="shared" si="0"/>
        <v>419063.08000000007</v>
      </c>
      <c r="I34" s="57"/>
      <c r="J34" s="589"/>
      <c r="K34" s="590"/>
      <c r="L34" s="590"/>
      <c r="M34" s="590"/>
      <c r="N34" s="536"/>
      <c r="O34" s="536"/>
      <c r="P34" s="431"/>
      <c r="Q34" s="431"/>
      <c r="R34" s="431"/>
      <c r="S34" s="431"/>
      <c r="T34" s="431"/>
      <c r="V34" s="431"/>
      <c r="W34" s="431"/>
      <c r="X34" s="431"/>
      <c r="Y34" s="431"/>
      <c r="Z34" s="431"/>
      <c r="AA34" s="431"/>
    </row>
    <row r="35" spans="1:27" s="432" customFormat="1" ht="15.6" customHeight="1" x14ac:dyDescent="0.3">
      <c r="A35" s="360">
        <v>9</v>
      </c>
      <c r="B35" s="23" t="s">
        <v>617</v>
      </c>
      <c r="C35" s="587">
        <v>236321.02</v>
      </c>
      <c r="D35" s="588">
        <f>6347.52+2413.47+471.19+215.22+574.22</f>
        <v>10021.619999999999</v>
      </c>
      <c r="E35" s="588">
        <f>21544.54+3697.94+294.3+309.5+13155.85+893.62+322.13+1610.67</f>
        <v>41828.549999999996</v>
      </c>
      <c r="F35" s="588">
        <f>1863.18+19066.07+1227.7+1969.26</f>
        <v>24126.21</v>
      </c>
      <c r="G35" s="592">
        <v>0</v>
      </c>
      <c r="H35" s="533">
        <f t="shared" si="0"/>
        <v>75976.38</v>
      </c>
      <c r="I35" s="57"/>
      <c r="J35" s="589"/>
      <c r="K35" s="590"/>
      <c r="L35" s="590"/>
      <c r="M35" s="590"/>
      <c r="N35" s="594"/>
      <c r="O35" s="536"/>
      <c r="P35" s="431"/>
      <c r="Q35" s="431"/>
      <c r="R35" s="431"/>
      <c r="S35" s="431"/>
      <c r="T35" s="431"/>
      <c r="V35" s="431"/>
      <c r="W35" s="431"/>
      <c r="X35" s="431"/>
      <c r="Y35" s="431"/>
      <c r="Z35" s="431"/>
      <c r="AA35" s="431"/>
    </row>
    <row r="36" spans="1:27" s="432" customFormat="1" ht="15.6" customHeight="1" x14ac:dyDescent="0.3">
      <c r="A36" s="360">
        <v>10</v>
      </c>
      <c r="B36" s="23" t="s">
        <v>619</v>
      </c>
      <c r="C36" s="587">
        <v>110903.86</v>
      </c>
      <c r="D36" s="592">
        <v>0</v>
      </c>
      <c r="E36" s="592">
        <v>0</v>
      </c>
      <c r="F36" s="592">
        <v>0</v>
      </c>
      <c r="G36" s="592">
        <v>0</v>
      </c>
      <c r="H36" s="533">
        <f t="shared" si="0"/>
        <v>0</v>
      </c>
      <c r="I36" s="57"/>
      <c r="J36" s="589"/>
      <c r="K36" s="594"/>
      <c r="L36" s="594"/>
      <c r="M36" s="594"/>
      <c r="N36" s="594"/>
      <c r="O36" s="536"/>
      <c r="P36" s="431"/>
      <c r="Q36" s="431"/>
      <c r="R36" s="431"/>
      <c r="S36" s="431"/>
      <c r="T36" s="431"/>
      <c r="V36" s="431"/>
      <c r="W36" s="431"/>
      <c r="X36" s="431"/>
      <c r="Y36" s="431"/>
      <c r="Z36" s="431"/>
      <c r="AA36" s="431"/>
    </row>
    <row r="37" spans="1:27" s="432" customFormat="1" ht="15.6" customHeight="1" x14ac:dyDescent="0.3">
      <c r="A37" s="360">
        <v>11</v>
      </c>
      <c r="B37" s="23" t="s">
        <v>620</v>
      </c>
      <c r="C37" s="587">
        <v>204348.6</v>
      </c>
      <c r="D37" s="588">
        <f>2378.41+60249.01+269.92+1259.61+394.94</f>
        <v>64551.89</v>
      </c>
      <c r="E37" s="588">
        <f>14695.03+8326.86+552.75+1153.69+316.06+2485.02</f>
        <v>27529.41</v>
      </c>
      <c r="F37" s="588">
        <f>744.05+767.26+53.29</f>
        <v>1564.6</v>
      </c>
      <c r="G37" s="592">
        <v>0</v>
      </c>
      <c r="H37" s="533">
        <f t="shared" si="0"/>
        <v>93645.900000000009</v>
      </c>
      <c r="I37" s="57"/>
      <c r="J37" s="589"/>
      <c r="K37" s="590"/>
      <c r="L37" s="590"/>
      <c r="M37" s="590"/>
      <c r="N37" s="594"/>
      <c r="O37" s="536"/>
      <c r="P37" s="431"/>
      <c r="Q37" s="431"/>
      <c r="R37" s="431"/>
      <c r="S37" s="431"/>
      <c r="T37" s="431"/>
      <c r="V37" s="431"/>
      <c r="W37" s="431"/>
      <c r="X37" s="431"/>
      <c r="Y37" s="431"/>
      <c r="Z37" s="431"/>
      <c r="AA37" s="431"/>
    </row>
    <row r="38" spans="1:27" s="432" customFormat="1" ht="15.6" customHeight="1" x14ac:dyDescent="0.3">
      <c r="A38" s="360">
        <v>12</v>
      </c>
      <c r="B38" s="23" t="s">
        <v>638</v>
      </c>
      <c r="C38" s="591">
        <v>0</v>
      </c>
      <c r="D38" s="588">
        <f>857.53+524.21+35238.92+188.68+2640.22</f>
        <v>39449.56</v>
      </c>
      <c r="E38" s="588">
        <f>5747.79+3997.17</f>
        <v>9744.9599999999991</v>
      </c>
      <c r="F38" s="588">
        <f>816.01+280.89</f>
        <v>1096.9000000000001</v>
      </c>
      <c r="G38" s="592">
        <v>0</v>
      </c>
      <c r="H38" s="533">
        <f t="shared" si="0"/>
        <v>50291.42</v>
      </c>
      <c r="I38" s="57"/>
      <c r="J38" s="593"/>
      <c r="K38" s="590"/>
      <c r="L38" s="590"/>
      <c r="M38" s="590"/>
      <c r="N38" s="594"/>
      <c r="O38" s="536"/>
      <c r="P38" s="431"/>
      <c r="Q38" s="431"/>
      <c r="R38" s="431"/>
      <c r="S38" s="431"/>
      <c r="T38" s="431"/>
      <c r="V38" s="431"/>
      <c r="W38" s="431"/>
      <c r="X38" s="431"/>
      <c r="Y38" s="431"/>
      <c r="Z38" s="431"/>
      <c r="AA38" s="431"/>
    </row>
    <row r="39" spans="1:27" s="432" customFormat="1" ht="15.6" customHeight="1" x14ac:dyDescent="0.3">
      <c r="A39" s="360">
        <v>13</v>
      </c>
      <c r="B39" s="23" t="s">
        <v>621</v>
      </c>
      <c r="C39" s="587">
        <v>78539.839999999997</v>
      </c>
      <c r="D39" s="588">
        <f>2891.53+33199.43+179.4+193.53</f>
        <v>36463.89</v>
      </c>
      <c r="E39" s="588">
        <f>6450.52+3839.67</f>
        <v>10290.19</v>
      </c>
      <c r="F39" s="588">
        <f>769.92+641.68</f>
        <v>1411.6</v>
      </c>
      <c r="G39" s="592">
        <v>0</v>
      </c>
      <c r="H39" s="533">
        <f t="shared" si="0"/>
        <v>48165.68</v>
      </c>
      <c r="I39" s="57"/>
      <c r="J39" s="589"/>
      <c r="K39" s="590"/>
      <c r="L39" s="590"/>
      <c r="M39" s="590"/>
      <c r="N39" s="594"/>
      <c r="O39" s="536"/>
      <c r="P39" s="431"/>
      <c r="Q39" s="431"/>
      <c r="R39" s="431"/>
      <c r="S39" s="431"/>
      <c r="T39" s="431"/>
      <c r="V39" s="431"/>
      <c r="W39" s="431"/>
      <c r="X39" s="431"/>
      <c r="Y39" s="431"/>
      <c r="Z39" s="431"/>
      <c r="AA39" s="431"/>
    </row>
    <row r="40" spans="1:27" s="432" customFormat="1" ht="15.6" customHeight="1" x14ac:dyDescent="0.3">
      <c r="A40" s="360">
        <v>14</v>
      </c>
      <c r="B40" s="23" t="s">
        <v>623</v>
      </c>
      <c r="C40" s="587">
        <v>131000</v>
      </c>
      <c r="D40" s="588">
        <f>2362.03+53084.43+883.45+67.67+1927.3+127.88</f>
        <v>58452.759999999995</v>
      </c>
      <c r="E40" s="588">
        <f>17145.04+22394.22+1698.43+1100.81</f>
        <v>42338.5</v>
      </c>
      <c r="F40" s="588">
        <f>816.01+301.85</f>
        <v>1117.8600000000001</v>
      </c>
      <c r="G40" s="592">
        <v>0</v>
      </c>
      <c r="H40" s="533">
        <f t="shared" si="0"/>
        <v>101909.12</v>
      </c>
      <c r="I40" s="57"/>
      <c r="J40" s="589"/>
      <c r="K40" s="590"/>
      <c r="L40" s="590"/>
      <c r="M40" s="590"/>
      <c r="N40" s="594"/>
      <c r="O40" s="536"/>
      <c r="P40" s="431"/>
      <c r="Q40" s="431"/>
      <c r="R40" s="431"/>
      <c r="S40" s="431"/>
      <c r="T40" s="431"/>
      <c r="V40" s="431"/>
      <c r="W40" s="431"/>
      <c r="X40" s="431"/>
      <c r="Y40" s="431"/>
      <c r="Z40" s="431"/>
      <c r="AA40" s="431"/>
    </row>
    <row r="41" spans="1:27" s="432" customFormat="1" ht="15.6" customHeight="1" x14ac:dyDescent="0.3">
      <c r="A41" s="360">
        <v>15</v>
      </c>
      <c r="B41" s="23" t="s">
        <v>626</v>
      </c>
      <c r="C41" s="587">
        <v>123000</v>
      </c>
      <c r="D41" s="588">
        <f>4162.26+76569.95+1115+3524.04+74.59</f>
        <v>85445.839999999982</v>
      </c>
      <c r="E41" s="588">
        <f>1281.8+19951.64+13136.96+18501.34+344.67+195+1830.11+2608.51+2100.85</f>
        <v>59950.87999999999</v>
      </c>
      <c r="F41" s="588">
        <f>730.6+816.01+761.6+513.57</f>
        <v>2821.78</v>
      </c>
      <c r="G41" s="592">
        <v>0</v>
      </c>
      <c r="H41" s="533">
        <f t="shared" si="0"/>
        <v>148218.49999999997</v>
      </c>
      <c r="I41" s="57"/>
      <c r="J41" s="589"/>
      <c r="K41" s="590"/>
      <c r="L41" s="590"/>
      <c r="M41" s="590"/>
      <c r="N41" s="594"/>
      <c r="O41" s="536"/>
      <c r="P41" s="431"/>
      <c r="Q41" s="431"/>
      <c r="R41" s="431"/>
      <c r="S41" s="431"/>
      <c r="T41" s="431"/>
      <c r="V41" s="431"/>
      <c r="W41" s="431"/>
      <c r="X41" s="431"/>
      <c r="Y41" s="431"/>
      <c r="Z41" s="431"/>
      <c r="AA41" s="431"/>
    </row>
    <row r="42" spans="1:27" s="432" customFormat="1" ht="15.6" customHeight="1" x14ac:dyDescent="0.3">
      <c r="A42" s="360">
        <v>16</v>
      </c>
      <c r="B42" s="35" t="s">
        <v>628</v>
      </c>
      <c r="C42" s="595"/>
      <c r="D42" s="588">
        <f>34539.55+218.8+1163.04+74.59</f>
        <v>35995.980000000003</v>
      </c>
      <c r="E42" s="588">
        <f>11934.36+3363.24</f>
        <v>15297.6</v>
      </c>
      <c r="F42" s="588">
        <f>943.91+334.72</f>
        <v>1278.6300000000001</v>
      </c>
      <c r="G42" s="592">
        <v>0</v>
      </c>
      <c r="H42" s="533">
        <f t="shared" si="0"/>
        <v>52572.21</v>
      </c>
      <c r="I42" s="57"/>
      <c r="J42" s="594"/>
      <c r="K42" s="590"/>
      <c r="L42" s="590"/>
      <c r="M42" s="590"/>
      <c r="N42" s="594"/>
      <c r="O42" s="536"/>
      <c r="P42" s="431"/>
      <c r="Q42" s="431"/>
      <c r="R42" s="431"/>
      <c r="S42" s="431"/>
      <c r="T42" s="431"/>
      <c r="V42" s="431"/>
      <c r="W42" s="431"/>
      <c r="X42" s="431"/>
      <c r="Y42" s="431"/>
      <c r="Z42" s="431"/>
      <c r="AA42" s="431"/>
    </row>
    <row r="43" spans="1:27" s="432" customFormat="1" ht="15.6" customHeight="1" x14ac:dyDescent="0.3">
      <c r="A43" s="360"/>
      <c r="B43" s="35"/>
      <c r="C43" s="429"/>
      <c r="D43" s="596"/>
      <c r="E43" s="35"/>
      <c r="F43" s="35"/>
      <c r="G43" s="596"/>
      <c r="H43" s="429"/>
      <c r="I43" s="597"/>
      <c r="J43" s="430"/>
      <c r="K43" s="598"/>
      <c r="L43" s="599"/>
      <c r="M43" s="599"/>
      <c r="N43" s="598"/>
      <c r="O43" s="598"/>
      <c r="P43" s="431"/>
      <c r="Q43" s="431"/>
      <c r="R43" s="431"/>
      <c r="S43" s="431"/>
      <c r="T43" s="431"/>
      <c r="V43" s="431"/>
      <c r="W43" s="431"/>
      <c r="X43" s="431"/>
      <c r="Y43" s="431"/>
      <c r="Z43" s="431"/>
      <c r="AA43" s="431"/>
    </row>
    <row r="44" spans="1:27" s="432" customFormat="1" ht="15.6" customHeight="1" x14ac:dyDescent="0.3">
      <c r="A44" s="360"/>
      <c r="B44" s="35" t="s">
        <v>639</v>
      </c>
      <c r="C44" s="429">
        <f>SUM(C27:C42)</f>
        <v>3859349.29</v>
      </c>
      <c r="D44" s="533">
        <f>SUM(D27:D42)</f>
        <v>1766464.9100000001</v>
      </c>
      <c r="E44" s="533">
        <f>SUM(E27:E42)</f>
        <v>778106.98999999987</v>
      </c>
      <c r="F44" s="533">
        <f>SUM(F27:F42)</f>
        <v>111360.02</v>
      </c>
      <c r="G44" s="533">
        <f>SUM(G27:G42)</f>
        <v>26149.200000000001</v>
      </c>
      <c r="H44" s="600">
        <f>D44+E44+F44+G44</f>
        <v>2682081.12</v>
      </c>
      <c r="I44" s="601"/>
      <c r="J44" s="430"/>
      <c r="K44" s="536"/>
      <c r="L44" s="536"/>
      <c r="M44" s="536"/>
      <c r="N44" s="536"/>
      <c r="O44" s="430"/>
      <c r="P44" s="431"/>
      <c r="Q44" s="431"/>
      <c r="R44" s="431"/>
      <c r="S44" s="431"/>
      <c r="T44" s="431"/>
      <c r="V44" s="431"/>
      <c r="W44" s="431"/>
      <c r="X44" s="431"/>
      <c r="Y44" s="431"/>
      <c r="Z44" s="431"/>
      <c r="AA44" s="431"/>
    </row>
    <row r="45" spans="1:27" s="432" customFormat="1" ht="15.6" customHeight="1" x14ac:dyDescent="0.3">
      <c r="A45" s="24"/>
      <c r="B45" s="599"/>
      <c r="C45" s="602"/>
      <c r="D45" s="603"/>
      <c r="E45" s="603"/>
      <c r="F45" s="533"/>
      <c r="G45" s="603"/>
      <c r="H45" s="429"/>
      <c r="I45" s="431"/>
      <c r="J45" s="602"/>
      <c r="K45" s="604"/>
      <c r="L45" s="584"/>
      <c r="M45" s="605"/>
      <c r="N45" s="584"/>
      <c r="O45" s="606"/>
      <c r="P45" s="431"/>
      <c r="Q45" s="431"/>
      <c r="R45" s="431"/>
      <c r="S45" s="431"/>
      <c r="T45" s="431"/>
      <c r="V45" s="431"/>
      <c r="W45" s="431"/>
      <c r="X45" s="431"/>
      <c r="Y45" s="431"/>
      <c r="Z45" s="431"/>
      <c r="AA45" s="431"/>
    </row>
    <row r="46" spans="1:27" s="432" customFormat="1" ht="15.6" customHeight="1" thickBot="1" x14ac:dyDescent="0.35">
      <c r="A46" s="24"/>
      <c r="B46" s="599"/>
      <c r="C46" s="430"/>
      <c r="D46" s="536"/>
      <c r="E46" s="536"/>
      <c r="F46" s="536"/>
      <c r="G46" s="536"/>
      <c r="H46" s="430"/>
      <c r="I46" s="431"/>
      <c r="J46" s="431"/>
      <c r="K46" s="431"/>
      <c r="L46" s="431"/>
      <c r="M46" s="431"/>
      <c r="N46" s="431"/>
      <c r="O46" s="431"/>
      <c r="P46" s="431"/>
      <c r="Q46" s="431"/>
      <c r="R46" s="431"/>
      <c r="S46" s="431"/>
      <c r="T46" s="431"/>
      <c r="V46" s="431"/>
      <c r="W46" s="431"/>
      <c r="X46" s="431"/>
      <c r="Y46" s="431"/>
      <c r="Z46" s="431"/>
      <c r="AA46" s="431"/>
    </row>
    <row r="47" spans="1:27" s="432" customFormat="1" ht="15.6" customHeight="1" thickBot="1" x14ac:dyDescent="0.35">
      <c r="A47" s="872" t="s">
        <v>37</v>
      </c>
      <c r="B47" s="873"/>
      <c r="C47" s="873"/>
      <c r="D47" s="873"/>
      <c r="E47" s="873"/>
      <c r="F47" s="873"/>
      <c r="G47" s="873"/>
      <c r="H47" s="873"/>
      <c r="I47" s="874"/>
      <c r="J47" s="2"/>
      <c r="K47" s="3" t="s">
        <v>38</v>
      </c>
      <c r="L47" s="4"/>
      <c r="M47" s="5"/>
      <c r="N47" s="431"/>
      <c r="O47" s="431"/>
      <c r="P47" s="431"/>
      <c r="Q47" s="431"/>
      <c r="R47" s="431"/>
      <c r="S47" s="431"/>
      <c r="T47" s="431"/>
      <c r="V47" s="431"/>
      <c r="W47" s="431"/>
      <c r="X47" s="431"/>
      <c r="Y47" s="431"/>
      <c r="Z47" s="431"/>
      <c r="AA47" s="431"/>
    </row>
    <row r="48" spans="1:27" s="432" customFormat="1" ht="84.9" customHeight="1" thickBot="1" x14ac:dyDescent="0.35">
      <c r="A48" s="100"/>
      <c r="B48" s="101" t="s">
        <v>40</v>
      </c>
      <c r="C48" s="899" t="s">
        <v>41</v>
      </c>
      <c r="D48" s="900"/>
      <c r="E48" s="901" t="s">
        <v>42</v>
      </c>
      <c r="F48" s="902"/>
      <c r="G48" s="899" t="s">
        <v>43</v>
      </c>
      <c r="H48" s="900"/>
      <c r="I48" s="7" t="s">
        <v>239</v>
      </c>
      <c r="J48" s="7" t="s">
        <v>736</v>
      </c>
      <c r="K48" s="8" t="s">
        <v>45</v>
      </c>
      <c r="L48" s="7" t="s">
        <v>46</v>
      </c>
      <c r="M48" s="6" t="s">
        <v>39</v>
      </c>
      <c r="N48" s="431"/>
      <c r="O48" s="431"/>
      <c r="P48" s="431"/>
      <c r="Q48" s="431"/>
      <c r="R48" s="431"/>
      <c r="S48" s="431"/>
      <c r="T48" s="431"/>
      <c r="V48" s="431"/>
      <c r="W48" s="431"/>
      <c r="X48" s="431"/>
      <c r="Y48" s="431"/>
      <c r="Z48" s="431"/>
      <c r="AA48" s="431"/>
    </row>
    <row r="49" spans="1:27" s="432" customFormat="1" ht="15.6" customHeight="1" x14ac:dyDescent="0.3">
      <c r="A49" s="9"/>
      <c r="B49" s="10"/>
      <c r="C49" s="11" t="s">
        <v>48</v>
      </c>
      <c r="D49" s="12" t="s">
        <v>49</v>
      </c>
      <c r="E49" s="13" t="s">
        <v>48</v>
      </c>
      <c r="F49" s="13" t="s">
        <v>49</v>
      </c>
      <c r="G49" s="12" t="s">
        <v>48</v>
      </c>
      <c r="H49" s="12" t="s">
        <v>49</v>
      </c>
      <c r="I49" s="14"/>
      <c r="J49" s="990" t="s">
        <v>640</v>
      </c>
      <c r="K49" s="12"/>
      <c r="L49" s="12"/>
      <c r="M49" s="15"/>
      <c r="N49" s="431"/>
      <c r="O49" s="431"/>
      <c r="P49" s="431"/>
      <c r="Q49" s="431"/>
      <c r="R49" s="431"/>
      <c r="S49" s="431"/>
      <c r="T49" s="431"/>
      <c r="V49" s="431"/>
      <c r="W49" s="431"/>
      <c r="X49" s="431"/>
      <c r="Y49" s="431"/>
      <c r="Z49" s="431"/>
      <c r="AA49" s="431"/>
    </row>
    <row r="50" spans="1:27" s="432" customFormat="1" ht="15.6" customHeight="1" x14ac:dyDescent="0.3">
      <c r="A50" s="360">
        <v>1</v>
      </c>
      <c r="B50" s="23" t="s">
        <v>611</v>
      </c>
      <c r="C50" s="533"/>
      <c r="D50" s="70"/>
      <c r="E50" s="16"/>
      <c r="F50" s="16"/>
      <c r="G50" s="603">
        <v>8400</v>
      </c>
      <c r="H50" s="603">
        <v>8400</v>
      </c>
      <c r="I50" s="16"/>
      <c r="J50" s="991"/>
      <c r="K50" s="16">
        <v>2000</v>
      </c>
      <c r="L50" s="16">
        <v>2000</v>
      </c>
      <c r="M50" s="16">
        <v>1000</v>
      </c>
      <c r="N50" s="431"/>
      <c r="O50" s="431"/>
      <c r="P50" s="431"/>
      <c r="Q50" s="431"/>
      <c r="R50" s="431"/>
      <c r="S50" s="431"/>
      <c r="T50" s="431"/>
      <c r="V50" s="431"/>
      <c r="W50" s="431"/>
      <c r="X50" s="431"/>
      <c r="Y50" s="431"/>
      <c r="Z50" s="431"/>
      <c r="AA50" s="431"/>
    </row>
    <row r="51" spans="1:27" s="432" customFormat="1" ht="15.6" customHeight="1" x14ac:dyDescent="0.3">
      <c r="A51" s="360">
        <v>2</v>
      </c>
      <c r="B51" s="23" t="s">
        <v>635</v>
      </c>
      <c r="C51" s="592"/>
      <c r="D51" s="533"/>
      <c r="E51" s="533"/>
      <c r="F51" s="533"/>
      <c r="G51" s="533"/>
      <c r="H51" s="429">
        <v>1000</v>
      </c>
      <c r="I51" s="607"/>
      <c r="J51" s="991"/>
      <c r="K51" s="607">
        <v>500</v>
      </c>
      <c r="L51" s="16">
        <v>500</v>
      </c>
      <c r="M51" s="607"/>
      <c r="N51" s="431"/>
      <c r="O51" s="431"/>
      <c r="P51" s="431"/>
      <c r="Q51" s="431"/>
      <c r="R51" s="431"/>
      <c r="S51" s="431"/>
      <c r="T51" s="431"/>
      <c r="V51" s="431"/>
      <c r="W51" s="431"/>
      <c r="X51" s="431"/>
      <c r="Y51" s="431"/>
      <c r="Z51" s="431"/>
      <c r="AA51" s="431"/>
    </row>
    <row r="52" spans="1:27" s="432" customFormat="1" ht="15.6" customHeight="1" x14ac:dyDescent="0.3">
      <c r="A52" s="360">
        <v>3</v>
      </c>
      <c r="B52" s="23" t="s">
        <v>636</v>
      </c>
      <c r="C52" s="592"/>
      <c r="D52" s="533"/>
      <c r="E52" s="533"/>
      <c r="F52" s="533"/>
      <c r="G52" s="533"/>
      <c r="H52" s="429">
        <v>1000</v>
      </c>
      <c r="I52" s="607"/>
      <c r="J52" s="991"/>
      <c r="K52" s="607">
        <v>500</v>
      </c>
      <c r="L52" s="16">
        <v>500</v>
      </c>
      <c r="M52" s="607"/>
      <c r="N52" s="431"/>
      <c r="O52" s="431"/>
      <c r="P52" s="431"/>
      <c r="Q52" s="431"/>
      <c r="R52" s="431"/>
      <c r="S52" s="431"/>
      <c r="T52" s="431"/>
      <c r="V52" s="431"/>
      <c r="W52" s="431"/>
      <c r="X52" s="431"/>
      <c r="Y52" s="431"/>
      <c r="Z52" s="431"/>
      <c r="AA52" s="431"/>
    </row>
    <row r="53" spans="1:27" s="432" customFormat="1" ht="15.6" customHeight="1" x14ac:dyDescent="0.3">
      <c r="A53" s="360">
        <v>4</v>
      </c>
      <c r="B53" s="23" t="s">
        <v>637</v>
      </c>
      <c r="C53" s="592"/>
      <c r="D53" s="533"/>
      <c r="E53" s="533"/>
      <c r="F53" s="533"/>
      <c r="G53" s="533"/>
      <c r="H53" s="429">
        <v>1000</v>
      </c>
      <c r="I53" s="607"/>
      <c r="J53" s="991"/>
      <c r="K53" s="607">
        <v>500</v>
      </c>
      <c r="L53" s="16">
        <v>500</v>
      </c>
      <c r="M53" s="607"/>
      <c r="N53" s="431"/>
      <c r="O53" s="431"/>
      <c r="P53" s="431"/>
      <c r="Q53" s="431"/>
      <c r="R53" s="431"/>
      <c r="S53" s="431"/>
      <c r="T53" s="431"/>
      <c r="V53" s="431"/>
      <c r="W53" s="431"/>
      <c r="X53" s="431"/>
      <c r="Y53" s="431"/>
      <c r="Z53" s="431"/>
      <c r="AA53" s="431"/>
    </row>
    <row r="54" spans="1:27" s="432" customFormat="1" ht="15.6" customHeight="1" x14ac:dyDescent="0.3">
      <c r="A54" s="360">
        <v>5</v>
      </c>
      <c r="B54" s="23" t="s">
        <v>612</v>
      </c>
      <c r="C54" s="533"/>
      <c r="D54" s="533"/>
      <c r="E54" s="533"/>
      <c r="F54" s="533"/>
      <c r="G54" s="533">
        <v>2000</v>
      </c>
      <c r="H54" s="429">
        <v>1000</v>
      </c>
      <c r="I54" s="607"/>
      <c r="J54" s="991"/>
      <c r="K54" s="607">
        <v>500</v>
      </c>
      <c r="L54" s="16">
        <v>500</v>
      </c>
      <c r="M54" s="16">
        <v>1000</v>
      </c>
      <c r="N54" s="431"/>
      <c r="O54" s="431"/>
      <c r="P54" s="431"/>
      <c r="Q54" s="431"/>
      <c r="R54" s="431"/>
      <c r="S54" s="431"/>
      <c r="T54" s="431"/>
      <c r="V54" s="431"/>
      <c r="W54" s="431"/>
      <c r="X54" s="431"/>
      <c r="Y54" s="431"/>
      <c r="Z54" s="431"/>
      <c r="AA54" s="431"/>
    </row>
    <row r="55" spans="1:27" s="432" customFormat="1" ht="15.6" customHeight="1" x14ac:dyDescent="0.3">
      <c r="A55" s="360">
        <v>6</v>
      </c>
      <c r="B55" s="23" t="s">
        <v>614</v>
      </c>
      <c r="C55" s="533"/>
      <c r="D55" s="533"/>
      <c r="E55" s="533"/>
      <c r="F55" s="533"/>
      <c r="G55" s="533">
        <v>2000</v>
      </c>
      <c r="H55" s="429">
        <v>1000</v>
      </c>
      <c r="I55" s="607"/>
      <c r="J55" s="991"/>
      <c r="K55" s="607">
        <v>500</v>
      </c>
      <c r="L55" s="16">
        <v>500</v>
      </c>
      <c r="M55" s="16">
        <v>1000</v>
      </c>
      <c r="N55" s="431"/>
      <c r="O55" s="431"/>
      <c r="P55" s="431"/>
      <c r="Q55" s="431"/>
      <c r="R55" s="431"/>
      <c r="S55" s="431"/>
      <c r="T55" s="431"/>
      <c r="V55" s="431"/>
      <c r="W55" s="431"/>
      <c r="X55" s="431"/>
      <c r="Y55" s="431"/>
      <c r="Z55" s="431"/>
      <c r="AA55" s="431"/>
    </row>
    <row r="56" spans="1:27" s="432" customFormat="1" ht="15.6" customHeight="1" x14ac:dyDescent="0.3">
      <c r="A56" s="360">
        <v>7</v>
      </c>
      <c r="B56" s="23" t="s">
        <v>615</v>
      </c>
      <c r="C56" s="533"/>
      <c r="D56" s="533"/>
      <c r="E56" s="533"/>
      <c r="F56" s="533"/>
      <c r="G56" s="533">
        <v>2000</v>
      </c>
      <c r="H56" s="429">
        <v>1000</v>
      </c>
      <c r="I56" s="607"/>
      <c r="J56" s="991"/>
      <c r="K56" s="607">
        <v>500</v>
      </c>
      <c r="L56" s="16">
        <v>500</v>
      </c>
      <c r="M56" s="16">
        <v>1000</v>
      </c>
      <c r="N56" s="431"/>
      <c r="O56" s="431"/>
      <c r="P56" s="431"/>
      <c r="Q56" s="431"/>
      <c r="R56" s="431"/>
      <c r="S56" s="431"/>
      <c r="T56" s="431"/>
      <c r="V56" s="431"/>
      <c r="W56" s="431"/>
      <c r="X56" s="431"/>
      <c r="Y56" s="431"/>
      <c r="Z56" s="431"/>
      <c r="AA56" s="431"/>
    </row>
    <row r="57" spans="1:27" s="432" customFormat="1" ht="15.6" customHeight="1" x14ac:dyDescent="0.3">
      <c r="A57" s="360">
        <v>8</v>
      </c>
      <c r="B57" s="23" t="s">
        <v>616</v>
      </c>
      <c r="C57" s="533"/>
      <c r="D57" s="533"/>
      <c r="E57" s="533"/>
      <c r="F57" s="533"/>
      <c r="G57" s="533">
        <v>3000</v>
      </c>
      <c r="H57" s="429">
        <v>3000</v>
      </c>
      <c r="I57" s="607"/>
      <c r="J57" s="991"/>
      <c r="K57" s="607">
        <v>500</v>
      </c>
      <c r="L57" s="16">
        <v>500</v>
      </c>
      <c r="M57" s="16">
        <v>1000</v>
      </c>
      <c r="N57" s="431"/>
      <c r="O57" s="431"/>
      <c r="P57" s="431"/>
      <c r="Q57" s="431"/>
      <c r="R57" s="431"/>
      <c r="S57" s="431"/>
      <c r="T57" s="431"/>
      <c r="V57" s="431"/>
      <c r="W57" s="431"/>
      <c r="X57" s="431"/>
      <c r="Y57" s="431"/>
      <c r="Z57" s="431"/>
      <c r="AA57" s="431"/>
    </row>
    <row r="58" spans="1:27" s="432" customFormat="1" ht="15.6" customHeight="1" x14ac:dyDescent="0.3">
      <c r="A58" s="360">
        <v>9</v>
      </c>
      <c r="B58" s="23" t="s">
        <v>617</v>
      </c>
      <c r="C58" s="533"/>
      <c r="D58" s="533"/>
      <c r="E58" s="533"/>
      <c r="F58" s="533"/>
      <c r="G58" s="533">
        <v>2000</v>
      </c>
      <c r="H58" s="429">
        <v>1000</v>
      </c>
      <c r="I58" s="607"/>
      <c r="J58" s="991"/>
      <c r="K58" s="607">
        <v>500</v>
      </c>
      <c r="L58" s="16">
        <v>500</v>
      </c>
      <c r="M58" s="16">
        <v>1000</v>
      </c>
      <c r="N58" s="431"/>
      <c r="O58" s="431"/>
      <c r="P58" s="431"/>
      <c r="Q58" s="431"/>
      <c r="R58" s="431"/>
      <c r="S58" s="431"/>
      <c r="T58" s="431"/>
      <c r="V58" s="431"/>
      <c r="W58" s="431"/>
      <c r="X58" s="431"/>
      <c r="Y58" s="431"/>
      <c r="Z58" s="431"/>
      <c r="AA58" s="431"/>
    </row>
    <row r="59" spans="1:27" ht="15.6" customHeight="1" x14ac:dyDescent="0.3">
      <c r="A59" s="360">
        <v>10</v>
      </c>
      <c r="B59" s="23" t="s">
        <v>620</v>
      </c>
      <c r="C59" s="533"/>
      <c r="D59" s="608"/>
      <c r="E59" s="608"/>
      <c r="F59" s="608"/>
      <c r="G59" s="533">
        <v>2000</v>
      </c>
      <c r="H59" s="429">
        <v>1000</v>
      </c>
      <c r="I59" s="608"/>
      <c r="J59" s="991"/>
      <c r="K59" s="607">
        <v>500</v>
      </c>
      <c r="L59" s="16">
        <v>500</v>
      </c>
      <c r="M59" s="16">
        <v>1000</v>
      </c>
      <c r="N59" s="319"/>
    </row>
    <row r="60" spans="1:27" ht="15.6" customHeight="1" x14ac:dyDescent="0.3">
      <c r="A60" s="360">
        <v>11</v>
      </c>
      <c r="B60" s="23" t="s">
        <v>638</v>
      </c>
      <c r="C60" s="592"/>
      <c r="D60" s="608"/>
      <c r="E60" s="608"/>
      <c r="F60" s="608"/>
      <c r="G60" s="533"/>
      <c r="H60" s="429">
        <v>1000</v>
      </c>
      <c r="I60" s="608"/>
      <c r="J60" s="991"/>
      <c r="K60" s="607">
        <v>500</v>
      </c>
      <c r="L60" s="607">
        <v>500</v>
      </c>
      <c r="M60" s="608"/>
      <c r="N60" s="319"/>
    </row>
    <row r="61" spans="1:27" ht="15.6" customHeight="1" x14ac:dyDescent="0.3">
      <c r="A61" s="360">
        <v>12</v>
      </c>
      <c r="B61" s="23" t="s">
        <v>621</v>
      </c>
      <c r="C61" s="533"/>
      <c r="D61" s="608"/>
      <c r="E61" s="608"/>
      <c r="F61" s="608"/>
      <c r="G61" s="533">
        <v>2000</v>
      </c>
      <c r="H61" s="429">
        <v>1000</v>
      </c>
      <c r="I61" s="608"/>
      <c r="J61" s="991"/>
      <c r="K61" s="607">
        <v>500</v>
      </c>
      <c r="L61" s="607">
        <v>500</v>
      </c>
      <c r="M61" s="16">
        <v>1000</v>
      </c>
      <c r="N61" s="319"/>
    </row>
    <row r="62" spans="1:27" ht="15.6" customHeight="1" x14ac:dyDescent="0.3">
      <c r="A62" s="360">
        <v>13</v>
      </c>
      <c r="B62" s="23" t="s">
        <v>623</v>
      </c>
      <c r="C62" s="533"/>
      <c r="D62" s="608"/>
      <c r="E62" s="608"/>
      <c r="F62" s="608"/>
      <c r="G62" s="533">
        <v>2000</v>
      </c>
      <c r="H62" s="429">
        <v>1000</v>
      </c>
      <c r="I62" s="608"/>
      <c r="J62" s="991"/>
      <c r="K62" s="607">
        <v>500</v>
      </c>
      <c r="L62" s="607">
        <v>500</v>
      </c>
      <c r="M62" s="16">
        <v>1000</v>
      </c>
      <c r="N62" s="319"/>
    </row>
    <row r="63" spans="1:27" ht="15.6" customHeight="1" x14ac:dyDescent="0.3">
      <c r="A63" s="360">
        <v>14</v>
      </c>
      <c r="B63" s="23" t="s">
        <v>626</v>
      </c>
      <c r="C63" s="533"/>
      <c r="D63" s="608"/>
      <c r="E63" s="608"/>
      <c r="F63" s="608"/>
      <c r="G63" s="533">
        <v>2000</v>
      </c>
      <c r="H63" s="429">
        <v>1000</v>
      </c>
      <c r="I63" s="608"/>
      <c r="J63" s="991"/>
      <c r="K63" s="607">
        <v>500</v>
      </c>
      <c r="L63" s="607">
        <v>500</v>
      </c>
      <c r="M63" s="16">
        <v>1000</v>
      </c>
      <c r="N63" s="319"/>
    </row>
    <row r="64" spans="1:27" ht="15.6" customHeight="1" x14ac:dyDescent="0.3">
      <c r="A64" s="360">
        <v>15</v>
      </c>
      <c r="B64" s="35" t="s">
        <v>628</v>
      </c>
      <c r="C64" s="592"/>
      <c r="D64" s="608"/>
      <c r="E64" s="608"/>
      <c r="F64" s="608"/>
      <c r="G64" s="533"/>
      <c r="H64" s="429">
        <v>1000</v>
      </c>
      <c r="I64" s="608"/>
      <c r="J64" s="992"/>
      <c r="K64" s="607">
        <v>500</v>
      </c>
      <c r="L64" s="607">
        <v>500</v>
      </c>
      <c r="M64" s="608"/>
      <c r="N64" s="319"/>
    </row>
    <row r="65" spans="1:14" ht="38.1" customHeight="1" x14ac:dyDescent="0.3">
      <c r="A65" s="30"/>
      <c r="B65" s="95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</row>
    <row r="67" spans="1:14" ht="15.6" x14ac:dyDescent="0.3">
      <c r="A67" s="30"/>
      <c r="B67" s="95" t="s">
        <v>641</v>
      </c>
      <c r="C67" s="609" t="s">
        <v>642</v>
      </c>
      <c r="D67" s="418" t="s">
        <v>643</v>
      </c>
    </row>
    <row r="68" spans="1:14" x14ac:dyDescent="0.3">
      <c r="A68" s="17" t="s">
        <v>189</v>
      </c>
      <c r="B68" s="23" t="s">
        <v>644</v>
      </c>
      <c r="C68" s="23" t="s">
        <v>645</v>
      </c>
      <c r="D68" s="23" t="s">
        <v>645</v>
      </c>
    </row>
    <row r="69" spans="1:14" x14ac:dyDescent="0.3">
      <c r="A69" s="17" t="s">
        <v>69</v>
      </c>
      <c r="B69" s="23" t="s">
        <v>646</v>
      </c>
      <c r="C69" s="23"/>
      <c r="D69" s="23"/>
    </row>
    <row r="70" spans="1:14" x14ac:dyDescent="0.3">
      <c r="A70" s="17"/>
      <c r="B70" s="17" t="s">
        <v>647</v>
      </c>
      <c r="C70" s="17">
        <v>1</v>
      </c>
      <c r="D70" s="17"/>
    </row>
    <row r="71" spans="1:14" x14ac:dyDescent="0.3">
      <c r="A71" s="17"/>
      <c r="B71" s="17" t="s">
        <v>648</v>
      </c>
      <c r="C71" s="17">
        <v>1</v>
      </c>
      <c r="D71" s="17">
        <v>2</v>
      </c>
    </row>
    <row r="72" spans="1:14" x14ac:dyDescent="0.3">
      <c r="A72" s="17"/>
      <c r="B72" s="17" t="s">
        <v>649</v>
      </c>
      <c r="C72" s="17">
        <v>1</v>
      </c>
      <c r="D72" s="17"/>
    </row>
    <row r="73" spans="1:14" x14ac:dyDescent="0.3">
      <c r="A73" s="17"/>
      <c r="B73" s="17" t="s">
        <v>650</v>
      </c>
      <c r="C73" s="17">
        <v>1</v>
      </c>
      <c r="D73" s="17"/>
    </row>
    <row r="74" spans="1:14" x14ac:dyDescent="0.3">
      <c r="A74" s="17" t="s">
        <v>71</v>
      </c>
      <c r="B74" s="23" t="s">
        <v>651</v>
      </c>
      <c r="C74" s="23">
        <v>1</v>
      </c>
      <c r="D74" s="23"/>
    </row>
    <row r="75" spans="1:14" x14ac:dyDescent="0.3">
      <c r="A75" s="17"/>
      <c r="B75" s="23" t="s">
        <v>652</v>
      </c>
      <c r="C75" s="23">
        <v>1</v>
      </c>
      <c r="D75" s="23"/>
    </row>
    <row r="76" spans="1:14" x14ac:dyDescent="0.3">
      <c r="A76" s="17"/>
      <c r="B76" s="23" t="s">
        <v>653</v>
      </c>
      <c r="C76" s="23">
        <v>1</v>
      </c>
      <c r="D76" s="23"/>
    </row>
    <row r="77" spans="1:14" x14ac:dyDescent="0.3">
      <c r="A77" s="17"/>
      <c r="B77" s="23" t="s">
        <v>654</v>
      </c>
      <c r="C77" s="23">
        <v>1</v>
      </c>
      <c r="D77" s="23"/>
    </row>
    <row r="78" spans="1:14" x14ac:dyDescent="0.3">
      <c r="A78" s="17" t="s">
        <v>73</v>
      </c>
      <c r="B78" s="23" t="s">
        <v>655</v>
      </c>
      <c r="C78" s="23">
        <v>23</v>
      </c>
      <c r="D78" s="23">
        <v>1</v>
      </c>
    </row>
    <row r="79" spans="1:14" x14ac:dyDescent="0.3">
      <c r="A79" s="17" t="s">
        <v>349</v>
      </c>
      <c r="B79" s="23" t="s">
        <v>656</v>
      </c>
      <c r="C79" s="23">
        <v>2</v>
      </c>
      <c r="D79" s="23"/>
    </row>
    <row r="80" spans="1:14" x14ac:dyDescent="0.3">
      <c r="A80" s="17" t="s">
        <v>541</v>
      </c>
      <c r="B80" s="23" t="s">
        <v>657</v>
      </c>
      <c r="C80" s="23">
        <v>3</v>
      </c>
      <c r="D80" s="23"/>
    </row>
    <row r="81" spans="1:5" x14ac:dyDescent="0.3">
      <c r="A81" s="17" t="s">
        <v>543</v>
      </c>
      <c r="B81" s="23" t="s">
        <v>658</v>
      </c>
      <c r="C81" s="23">
        <v>2</v>
      </c>
      <c r="D81" s="23"/>
    </row>
    <row r="82" spans="1:5" x14ac:dyDescent="0.3">
      <c r="A82" s="17" t="s">
        <v>546</v>
      </c>
      <c r="B82" s="23" t="s">
        <v>659</v>
      </c>
      <c r="C82" s="23">
        <v>31</v>
      </c>
      <c r="D82" s="23"/>
    </row>
    <row r="83" spans="1:5" x14ac:dyDescent="0.3">
      <c r="A83" s="17" t="s">
        <v>548</v>
      </c>
      <c r="B83" s="23" t="s">
        <v>660</v>
      </c>
      <c r="C83" s="23">
        <v>8</v>
      </c>
      <c r="D83" s="23"/>
    </row>
    <row r="84" spans="1:5" x14ac:dyDescent="0.3">
      <c r="A84" s="17" t="s">
        <v>565</v>
      </c>
      <c r="B84" s="23" t="s">
        <v>661</v>
      </c>
      <c r="C84" s="23">
        <v>1</v>
      </c>
      <c r="D84" s="23"/>
    </row>
    <row r="85" spans="1:5" x14ac:dyDescent="0.3">
      <c r="A85" s="17" t="s">
        <v>622</v>
      </c>
      <c r="B85" s="23" t="s">
        <v>662</v>
      </c>
      <c r="C85" s="23">
        <v>5</v>
      </c>
      <c r="D85" s="23"/>
    </row>
    <row r="86" spans="1:5" x14ac:dyDescent="0.3">
      <c r="A86" s="17" t="s">
        <v>625</v>
      </c>
      <c r="B86" s="23" t="s">
        <v>663</v>
      </c>
      <c r="C86" s="23">
        <v>6</v>
      </c>
      <c r="D86" s="23"/>
    </row>
    <row r="87" spans="1:5" x14ac:dyDescent="0.3">
      <c r="B87" s="17"/>
      <c r="C87" s="17"/>
      <c r="D87" s="17"/>
    </row>
    <row r="88" spans="1:5" x14ac:dyDescent="0.3">
      <c r="B88" s="23" t="s">
        <v>639</v>
      </c>
      <c r="C88" s="17">
        <f>SUM(C70:C86)</f>
        <v>89</v>
      </c>
      <c r="D88" s="17">
        <f>SUM(D70:D86)</f>
        <v>3</v>
      </c>
    </row>
    <row r="91" spans="1:5" x14ac:dyDescent="0.3">
      <c r="B91" t="s">
        <v>664</v>
      </c>
    </row>
    <row r="92" spans="1:5" ht="28.2" x14ac:dyDescent="0.3">
      <c r="A92" s="17" t="s">
        <v>189</v>
      </c>
      <c r="B92" s="23" t="s">
        <v>665</v>
      </c>
      <c r="C92" s="36" t="s">
        <v>666</v>
      </c>
      <c r="D92" s="36" t="s">
        <v>398</v>
      </c>
      <c r="E92" s="17" t="s">
        <v>2352</v>
      </c>
    </row>
    <row r="93" spans="1:5" x14ac:dyDescent="0.3">
      <c r="A93" s="17" t="s">
        <v>69</v>
      </c>
      <c r="B93" s="610" t="s">
        <v>667</v>
      </c>
      <c r="C93" s="23">
        <v>2005</v>
      </c>
      <c r="D93" s="611">
        <v>4749.3120000000008</v>
      </c>
      <c r="E93" s="17" t="s">
        <v>2349</v>
      </c>
    </row>
    <row r="94" spans="1:5" x14ac:dyDescent="0.3">
      <c r="A94" s="17" t="s">
        <v>71</v>
      </c>
      <c r="B94" s="610" t="s">
        <v>668</v>
      </c>
      <c r="C94" s="23">
        <v>1998</v>
      </c>
      <c r="D94" s="611">
        <v>2647.0640000000003</v>
      </c>
      <c r="E94" s="105" t="s">
        <v>2349</v>
      </c>
    </row>
    <row r="95" spans="1:5" x14ac:dyDescent="0.3">
      <c r="A95" s="17" t="s">
        <v>73</v>
      </c>
      <c r="B95" s="610" t="s">
        <v>669</v>
      </c>
      <c r="C95" s="23">
        <v>2009</v>
      </c>
      <c r="D95" s="611">
        <v>4957.3300000000008</v>
      </c>
      <c r="E95" s="105" t="s">
        <v>2350</v>
      </c>
    </row>
    <row r="96" spans="1:5" x14ac:dyDescent="0.3">
      <c r="A96" s="17" t="s">
        <v>349</v>
      </c>
      <c r="B96" s="610" t="s">
        <v>670</v>
      </c>
      <c r="C96" s="23">
        <v>2008</v>
      </c>
      <c r="D96" s="611">
        <v>5247.4459999999999</v>
      </c>
      <c r="E96" s="105" t="s">
        <v>2350</v>
      </c>
    </row>
    <row r="97" spans="1:5" x14ac:dyDescent="0.3">
      <c r="A97" s="17" t="s">
        <v>541</v>
      </c>
      <c r="B97" s="610" t="s">
        <v>671</v>
      </c>
      <c r="C97" s="23">
        <v>2012</v>
      </c>
      <c r="D97" s="611">
        <v>1255.8000000000002</v>
      </c>
      <c r="E97" s="105" t="s">
        <v>2350</v>
      </c>
    </row>
    <row r="98" spans="1:5" x14ac:dyDescent="0.3">
      <c r="A98" s="17" t="s">
        <v>543</v>
      </c>
      <c r="B98" s="610" t="s">
        <v>672</v>
      </c>
      <c r="C98" s="23">
        <v>2016</v>
      </c>
      <c r="D98" s="611">
        <v>22508.400000000001</v>
      </c>
      <c r="E98" s="105" t="s">
        <v>2349</v>
      </c>
    </row>
    <row r="99" spans="1:5" x14ac:dyDescent="0.3">
      <c r="A99" s="17" t="s">
        <v>546</v>
      </c>
      <c r="B99" s="610" t="s">
        <v>673</v>
      </c>
      <c r="C99" s="23">
        <v>2015</v>
      </c>
      <c r="D99" s="611">
        <v>26485.367999999999</v>
      </c>
      <c r="E99" s="105" t="s">
        <v>2351</v>
      </c>
    </row>
    <row r="100" spans="1:5" x14ac:dyDescent="0.3">
      <c r="A100" s="17" t="s">
        <v>548</v>
      </c>
      <c r="B100" s="610" t="s">
        <v>674</v>
      </c>
      <c r="C100" s="23">
        <v>2017</v>
      </c>
      <c r="D100" s="611">
        <v>23684.351999999999</v>
      </c>
      <c r="E100" s="105" t="s">
        <v>2349</v>
      </c>
    </row>
    <row r="101" spans="1:5" x14ac:dyDescent="0.3">
      <c r="A101" s="17" t="s">
        <v>565</v>
      </c>
      <c r="B101" s="610" t="s">
        <v>675</v>
      </c>
      <c r="C101" s="23">
        <v>2011</v>
      </c>
      <c r="D101" s="611">
        <v>5427.2540000000008</v>
      </c>
      <c r="E101" s="105" t="s">
        <v>2350</v>
      </c>
    </row>
    <row r="102" spans="1:5" x14ac:dyDescent="0.3">
      <c r="A102" s="17" t="s">
        <v>622</v>
      </c>
      <c r="B102" s="610" t="s">
        <v>676</v>
      </c>
      <c r="C102" s="23">
        <v>2010</v>
      </c>
      <c r="D102" s="611">
        <v>5064.9459999999999</v>
      </c>
      <c r="E102" s="105" t="s">
        <v>2350</v>
      </c>
    </row>
    <row r="103" spans="1:5" x14ac:dyDescent="0.3">
      <c r="A103" s="17" t="s">
        <v>625</v>
      </c>
      <c r="B103" s="610" t="s">
        <v>677</v>
      </c>
      <c r="C103" s="23">
        <v>2011</v>
      </c>
      <c r="D103" s="611">
        <v>5445.674</v>
      </c>
      <c r="E103" s="105" t="s">
        <v>2350</v>
      </c>
    </row>
    <row r="104" spans="1:5" x14ac:dyDescent="0.3">
      <c r="A104" s="17" t="s">
        <v>627</v>
      </c>
      <c r="B104" s="610" t="s">
        <v>678</v>
      </c>
      <c r="C104" s="23">
        <v>2009</v>
      </c>
      <c r="D104" s="611">
        <v>4957.3300000000008</v>
      </c>
      <c r="E104" s="105" t="s">
        <v>2350</v>
      </c>
    </row>
    <row r="105" spans="1:5" x14ac:dyDescent="0.3">
      <c r="A105" s="17" t="s">
        <v>679</v>
      </c>
      <c r="B105" s="610" t="s">
        <v>680</v>
      </c>
      <c r="C105" s="23">
        <v>2017</v>
      </c>
      <c r="D105" s="611">
        <v>6907.6900000000005</v>
      </c>
      <c r="E105" s="105" t="s">
        <v>2350</v>
      </c>
    </row>
    <row r="106" spans="1:5" x14ac:dyDescent="0.3">
      <c r="A106" s="17" t="s">
        <v>681</v>
      </c>
      <c r="B106" s="610" t="s">
        <v>682</v>
      </c>
      <c r="C106" s="23">
        <v>2009</v>
      </c>
      <c r="D106" s="611">
        <v>4957.3300000000008</v>
      </c>
      <c r="E106" s="105" t="s">
        <v>2350</v>
      </c>
    </row>
    <row r="107" spans="1:5" x14ac:dyDescent="0.3">
      <c r="A107" s="17" t="s">
        <v>683</v>
      </c>
      <c r="B107" s="610" t="s">
        <v>684</v>
      </c>
      <c r="C107" s="23">
        <v>2011</v>
      </c>
      <c r="D107" s="611">
        <v>5389.5080000000007</v>
      </c>
      <c r="E107" s="105" t="s">
        <v>2350</v>
      </c>
    </row>
    <row r="108" spans="1:5" x14ac:dyDescent="0.3">
      <c r="A108" s="17" t="s">
        <v>685</v>
      </c>
      <c r="B108" s="610" t="s">
        <v>686</v>
      </c>
      <c r="C108" s="23">
        <v>2010</v>
      </c>
      <c r="D108" s="611">
        <v>5741.0640000000003</v>
      </c>
      <c r="E108" s="105" t="s">
        <v>2350</v>
      </c>
    </row>
    <row r="109" spans="1:5" x14ac:dyDescent="0.3">
      <c r="A109" s="17" t="s">
        <v>687</v>
      </c>
      <c r="B109" s="610" t="s">
        <v>688</v>
      </c>
      <c r="C109" s="23">
        <v>2009</v>
      </c>
      <c r="D109" s="611">
        <v>4957.3300000000008</v>
      </c>
      <c r="E109" s="105" t="s">
        <v>2349</v>
      </c>
    </row>
    <row r="110" spans="1:5" x14ac:dyDescent="0.3">
      <c r="A110" s="17" t="s">
        <v>689</v>
      </c>
      <c r="B110" s="610" t="s">
        <v>690</v>
      </c>
      <c r="C110" s="23">
        <v>2007</v>
      </c>
      <c r="D110" s="611">
        <v>4157.0800000000008</v>
      </c>
      <c r="E110" s="105" t="s">
        <v>2350</v>
      </c>
    </row>
    <row r="111" spans="1:5" x14ac:dyDescent="0.3">
      <c r="A111" s="17" t="s">
        <v>691</v>
      </c>
      <c r="B111" s="610" t="s">
        <v>692</v>
      </c>
      <c r="C111" s="23">
        <v>2007</v>
      </c>
      <c r="D111" s="611">
        <v>3944.6540000000005</v>
      </c>
      <c r="E111" s="105" t="s">
        <v>2350</v>
      </c>
    </row>
    <row r="112" spans="1:5" x14ac:dyDescent="0.3">
      <c r="A112" s="17" t="s">
        <v>693</v>
      </c>
      <c r="B112" s="610" t="s">
        <v>694</v>
      </c>
      <c r="C112" s="23">
        <v>2009</v>
      </c>
      <c r="D112" s="611">
        <v>4957.3320000000003</v>
      </c>
      <c r="E112" s="105" t="s">
        <v>2350</v>
      </c>
    </row>
    <row r="113" spans="1:5" x14ac:dyDescent="0.3">
      <c r="A113" s="17" t="s">
        <v>695</v>
      </c>
      <c r="B113" s="610" t="s">
        <v>696</v>
      </c>
      <c r="C113" s="23">
        <v>2011</v>
      </c>
      <c r="D113" s="611">
        <v>5541.3580000000002</v>
      </c>
      <c r="E113" s="105" t="s">
        <v>2350</v>
      </c>
    </row>
    <row r="114" spans="1:5" x14ac:dyDescent="0.3">
      <c r="A114" s="17" t="s">
        <v>697</v>
      </c>
      <c r="B114" s="610" t="s">
        <v>698</v>
      </c>
      <c r="C114" s="23">
        <v>2009</v>
      </c>
      <c r="D114" s="611">
        <v>4957.3300000000008</v>
      </c>
      <c r="E114" s="105" t="s">
        <v>2349</v>
      </c>
    </row>
    <row r="115" spans="1:5" x14ac:dyDescent="0.3">
      <c r="A115" s="17" t="s">
        <v>699</v>
      </c>
      <c r="B115" s="610" t="s">
        <v>700</v>
      </c>
      <c r="C115" s="23">
        <v>2008</v>
      </c>
      <c r="D115" s="611">
        <v>4816.8860000000004</v>
      </c>
      <c r="E115" s="105" t="s">
        <v>2350</v>
      </c>
    </row>
    <row r="116" spans="1:5" x14ac:dyDescent="0.3">
      <c r="A116" s="17" t="s">
        <v>701</v>
      </c>
      <c r="B116" s="610" t="s">
        <v>702</v>
      </c>
      <c r="C116" s="23">
        <v>2015</v>
      </c>
      <c r="D116" s="611">
        <v>20267.490000000002</v>
      </c>
      <c r="E116" s="105" t="s">
        <v>2349</v>
      </c>
    </row>
    <row r="117" spans="1:5" x14ac:dyDescent="0.3">
      <c r="A117" s="17" t="s">
        <v>703</v>
      </c>
      <c r="B117" s="610" t="s">
        <v>704</v>
      </c>
      <c r="C117" s="23">
        <v>2010</v>
      </c>
      <c r="D117" s="611">
        <v>5064.9459999999999</v>
      </c>
      <c r="E117" s="105" t="s">
        <v>2350</v>
      </c>
    </row>
    <row r="118" spans="1:5" x14ac:dyDescent="0.3">
      <c r="A118" s="17" t="s">
        <v>705</v>
      </c>
      <c r="B118" s="610" t="s">
        <v>706</v>
      </c>
      <c r="C118" s="23">
        <v>2018</v>
      </c>
      <c r="D118" s="611">
        <v>21994.1</v>
      </c>
      <c r="E118" s="105" t="s">
        <v>2349</v>
      </c>
    </row>
    <row r="119" spans="1:5" x14ac:dyDescent="0.3">
      <c r="A119" s="17" t="s">
        <v>707</v>
      </c>
      <c r="B119" s="610" t="s">
        <v>708</v>
      </c>
      <c r="C119" s="23">
        <v>2011</v>
      </c>
      <c r="D119" s="611">
        <v>5410.5380000000005</v>
      </c>
      <c r="E119" s="105" t="s">
        <v>2350</v>
      </c>
    </row>
    <row r="120" spans="1:5" x14ac:dyDescent="0.3">
      <c r="A120" s="17" t="s">
        <v>709</v>
      </c>
      <c r="B120" s="610" t="s">
        <v>710</v>
      </c>
      <c r="C120" s="23">
        <v>2008</v>
      </c>
      <c r="D120" s="611">
        <v>5158.2120000000004</v>
      </c>
      <c r="E120" s="105" t="s">
        <v>2350</v>
      </c>
    </row>
    <row r="121" spans="1:5" x14ac:dyDescent="0.3">
      <c r="A121" s="17" t="s">
        <v>711</v>
      </c>
      <c r="B121" s="610" t="s">
        <v>712</v>
      </c>
      <c r="C121" s="23">
        <v>2010</v>
      </c>
      <c r="D121" s="611">
        <v>5766.2040000000006</v>
      </c>
      <c r="E121" s="105" t="s">
        <v>2350</v>
      </c>
    </row>
    <row r="122" spans="1:5" x14ac:dyDescent="0.3">
      <c r="A122" s="17" t="s">
        <v>713</v>
      </c>
      <c r="B122" s="610" t="s">
        <v>714</v>
      </c>
      <c r="C122" s="23">
        <v>2010</v>
      </c>
      <c r="D122" s="611">
        <v>5064.9459999999999</v>
      </c>
      <c r="E122" s="105" t="s">
        <v>2350</v>
      </c>
    </row>
    <row r="123" spans="1:5" x14ac:dyDescent="0.3">
      <c r="A123" s="17" t="s">
        <v>715</v>
      </c>
      <c r="B123" s="610" t="s">
        <v>716</v>
      </c>
      <c r="C123" s="23">
        <v>2011</v>
      </c>
      <c r="D123" s="611">
        <v>5624.424</v>
      </c>
      <c r="E123" s="105" t="s">
        <v>2350</v>
      </c>
    </row>
    <row r="124" spans="1:5" x14ac:dyDescent="0.3">
      <c r="A124" s="17" t="s">
        <v>717</v>
      </c>
      <c r="B124" s="610" t="s">
        <v>718</v>
      </c>
      <c r="C124" s="23">
        <v>2010</v>
      </c>
      <c r="D124" s="611">
        <v>5064.9500000000007</v>
      </c>
      <c r="E124" s="105" t="s">
        <v>2350</v>
      </c>
    </row>
    <row r="125" spans="1:5" x14ac:dyDescent="0.3">
      <c r="E125" s="854"/>
    </row>
    <row r="126" spans="1:5" x14ac:dyDescent="0.3">
      <c r="E126" s="854"/>
    </row>
  </sheetData>
  <mergeCells count="6">
    <mergeCell ref="J49:J64"/>
    <mergeCell ref="B3:B4"/>
    <mergeCell ref="A47:I47"/>
    <mergeCell ref="C48:D48"/>
    <mergeCell ref="E48:F48"/>
    <mergeCell ref="G48:H48"/>
  </mergeCells>
  <pageMargins left="0.25" right="0.22" top="0.74803149606299213" bottom="0.74803149606299213" header="0.31496062992125984" footer="0.31496062992125984"/>
  <pageSetup paperSize="9" scale="23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024C3-DD0B-4DB6-A477-8CEECE7D1C37}">
  <dimension ref="A1:T7"/>
  <sheetViews>
    <sheetView workbookViewId="0">
      <selection activeCell="J17" sqref="J17"/>
    </sheetView>
  </sheetViews>
  <sheetFormatPr defaultRowHeight="14.4" x14ac:dyDescent="0.3"/>
  <cols>
    <col min="2" max="2" width="12.88671875" customWidth="1"/>
    <col min="3" max="3" width="13" customWidth="1"/>
    <col min="4" max="4" width="19.44140625" customWidth="1"/>
    <col min="5" max="5" width="18" customWidth="1"/>
    <col min="6" max="6" width="4.44140625" customWidth="1"/>
    <col min="7" max="7" width="6" customWidth="1"/>
    <col min="8" max="8" width="6.33203125" customWidth="1"/>
    <col min="11" max="11" width="7.109375" customWidth="1"/>
    <col min="12" max="12" width="4.109375" customWidth="1"/>
    <col min="13" max="13" width="4.44140625" customWidth="1"/>
    <col min="14" max="14" width="5.109375" customWidth="1"/>
    <col min="16" max="16" width="14.44140625" customWidth="1"/>
  </cols>
  <sheetData>
    <row r="1" spans="1:20" x14ac:dyDescent="0.3">
      <c r="A1" s="21" t="s">
        <v>719</v>
      </c>
    </row>
    <row r="5" spans="1:20" ht="57.6" x14ac:dyDescent="0.3">
      <c r="A5" s="17" t="s">
        <v>137</v>
      </c>
      <c r="B5" s="23" t="s">
        <v>138</v>
      </c>
      <c r="C5" s="23" t="s">
        <v>139</v>
      </c>
      <c r="D5" s="23" t="s">
        <v>140</v>
      </c>
      <c r="E5" s="23" t="s">
        <v>141</v>
      </c>
      <c r="F5" s="23" t="s">
        <v>142</v>
      </c>
      <c r="G5" s="23" t="s">
        <v>143</v>
      </c>
      <c r="H5" s="23" t="s">
        <v>144</v>
      </c>
      <c r="I5" s="23" t="s">
        <v>145</v>
      </c>
      <c r="J5" s="23" t="s">
        <v>146</v>
      </c>
      <c r="K5" s="23" t="s">
        <v>147</v>
      </c>
      <c r="L5" s="23" t="s">
        <v>148</v>
      </c>
      <c r="M5" s="23" t="s">
        <v>149</v>
      </c>
      <c r="N5" s="23" t="s">
        <v>150</v>
      </c>
      <c r="O5" s="23" t="s">
        <v>151</v>
      </c>
      <c r="P5" s="23" t="s">
        <v>152</v>
      </c>
      <c r="Q5" s="23" t="s">
        <v>153</v>
      </c>
      <c r="R5" s="23" t="s">
        <v>154</v>
      </c>
      <c r="S5" s="23" t="s">
        <v>221</v>
      </c>
      <c r="T5" s="612" t="s">
        <v>720</v>
      </c>
    </row>
    <row r="6" spans="1:20" ht="28.8" x14ac:dyDescent="0.3">
      <c r="A6" s="17">
        <v>1</v>
      </c>
      <c r="B6" s="17" t="s">
        <v>721</v>
      </c>
      <c r="C6" s="17" t="s">
        <v>156</v>
      </c>
      <c r="D6" s="17" t="s">
        <v>722</v>
      </c>
      <c r="E6" s="23" t="s">
        <v>723</v>
      </c>
      <c r="F6" s="17">
        <v>44</v>
      </c>
      <c r="G6" s="17">
        <v>1242</v>
      </c>
      <c r="H6" s="17">
        <v>4</v>
      </c>
      <c r="I6" s="17"/>
      <c r="J6" s="18">
        <v>12780</v>
      </c>
      <c r="K6" s="17">
        <v>2009</v>
      </c>
      <c r="L6" s="17" t="s">
        <v>159</v>
      </c>
      <c r="M6" s="17" t="s">
        <v>159</v>
      </c>
      <c r="N6" s="17" t="s">
        <v>159</v>
      </c>
      <c r="O6" s="80">
        <v>0.01</v>
      </c>
      <c r="P6" s="23" t="s">
        <v>160</v>
      </c>
      <c r="Q6" s="17" t="s">
        <v>159</v>
      </c>
      <c r="R6" s="17" t="s">
        <v>159</v>
      </c>
      <c r="S6" s="17" t="s">
        <v>160</v>
      </c>
      <c r="T6" s="613" t="s">
        <v>159</v>
      </c>
    </row>
    <row r="7" spans="1:20" ht="43.2" x14ac:dyDescent="0.3">
      <c r="A7" s="17">
        <v>2</v>
      </c>
      <c r="B7" s="17" t="s">
        <v>724</v>
      </c>
      <c r="C7" s="23" t="s">
        <v>156</v>
      </c>
      <c r="D7" s="17" t="s">
        <v>725</v>
      </c>
      <c r="E7" s="23" t="s">
        <v>726</v>
      </c>
      <c r="F7" s="17">
        <v>64</v>
      </c>
      <c r="G7" s="17">
        <v>1197</v>
      </c>
      <c r="H7" s="17">
        <v>5</v>
      </c>
      <c r="I7" s="17"/>
      <c r="J7" s="18">
        <v>14356.2</v>
      </c>
      <c r="K7" s="17">
        <v>2018</v>
      </c>
      <c r="L7" s="17" t="s">
        <v>159</v>
      </c>
      <c r="M7" s="17" t="s">
        <v>159</v>
      </c>
      <c r="N7" s="17" t="s">
        <v>159</v>
      </c>
      <c r="O7" s="80">
        <v>0.01</v>
      </c>
      <c r="P7" s="23" t="s">
        <v>160</v>
      </c>
      <c r="Q7" s="17" t="s">
        <v>159</v>
      </c>
      <c r="R7" s="17" t="s">
        <v>159</v>
      </c>
      <c r="S7" s="17" t="s">
        <v>160</v>
      </c>
      <c r="T7" s="613" t="s">
        <v>159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2F03E-47B4-4AD6-BCE6-A78647C2F6C7}">
  <sheetPr>
    <pageSetUpPr fitToPage="1"/>
  </sheetPr>
  <dimension ref="A1:O17"/>
  <sheetViews>
    <sheetView topLeftCell="A7" zoomScale="85" zoomScaleNormal="85" workbookViewId="0">
      <selection activeCell="O7" sqref="O7"/>
    </sheetView>
  </sheetViews>
  <sheetFormatPr defaultRowHeight="14.4" x14ac:dyDescent="0.3"/>
  <cols>
    <col min="1" max="1" width="6.109375" customWidth="1"/>
    <col min="2" max="2" width="28.109375" customWidth="1"/>
    <col min="3" max="3" width="15.109375" customWidth="1"/>
    <col min="4" max="4" width="15.5546875" customWidth="1"/>
    <col min="5" max="5" width="14.5546875" customWidth="1"/>
    <col min="6" max="6" width="16.5546875" customWidth="1"/>
    <col min="7" max="7" width="14.5546875" customWidth="1"/>
    <col min="8" max="8" width="13.44140625" customWidth="1"/>
    <col min="9" max="9" width="15.6640625" customWidth="1"/>
    <col min="10" max="10" width="12.88671875" customWidth="1"/>
    <col min="11" max="12" width="13.5546875" customWidth="1"/>
    <col min="13" max="14" width="11.44140625" customWidth="1"/>
    <col min="15" max="15" width="10.44140625" customWidth="1"/>
    <col min="28" max="28" width="9.5546875" bestFit="1" customWidth="1"/>
    <col min="258" max="258" width="6.109375" customWidth="1"/>
    <col min="259" max="259" width="28.109375" customWidth="1"/>
    <col min="260" max="260" width="13.88671875" customWidth="1"/>
    <col min="261" max="261" width="14.5546875" customWidth="1"/>
    <col min="262" max="262" width="15.5546875" customWidth="1"/>
    <col min="263" max="263" width="14.5546875" customWidth="1"/>
    <col min="264" max="264" width="16.5546875" customWidth="1"/>
    <col min="265" max="265" width="14.5546875" customWidth="1"/>
    <col min="266" max="266" width="11.5546875" customWidth="1"/>
    <col min="267" max="267" width="12.88671875" customWidth="1"/>
    <col min="268" max="269" width="13.5546875" customWidth="1"/>
    <col min="270" max="270" width="13.44140625" bestFit="1" customWidth="1"/>
    <col min="514" max="514" width="6.109375" customWidth="1"/>
    <col min="515" max="515" width="28.109375" customWidth="1"/>
    <col min="516" max="516" width="13.88671875" customWidth="1"/>
    <col min="517" max="517" width="14.5546875" customWidth="1"/>
    <col min="518" max="518" width="15.5546875" customWidth="1"/>
    <col min="519" max="519" width="14.5546875" customWidth="1"/>
    <col min="520" max="520" width="16.5546875" customWidth="1"/>
    <col min="521" max="521" width="14.5546875" customWidth="1"/>
    <col min="522" max="522" width="11.5546875" customWidth="1"/>
    <col min="523" max="523" width="12.88671875" customWidth="1"/>
    <col min="524" max="525" width="13.5546875" customWidth="1"/>
    <col min="526" max="526" width="13.44140625" bestFit="1" customWidth="1"/>
    <col min="770" max="770" width="6.109375" customWidth="1"/>
    <col min="771" max="771" width="28.109375" customWidth="1"/>
    <col min="772" max="772" width="13.88671875" customWidth="1"/>
    <col min="773" max="773" width="14.5546875" customWidth="1"/>
    <col min="774" max="774" width="15.5546875" customWidth="1"/>
    <col min="775" max="775" width="14.5546875" customWidth="1"/>
    <col min="776" max="776" width="16.5546875" customWidth="1"/>
    <col min="777" max="777" width="14.5546875" customWidth="1"/>
    <col min="778" max="778" width="11.5546875" customWidth="1"/>
    <col min="779" max="779" width="12.88671875" customWidth="1"/>
    <col min="780" max="781" width="13.5546875" customWidth="1"/>
    <col min="782" max="782" width="13.44140625" bestFit="1" customWidth="1"/>
    <col min="1026" max="1026" width="6.109375" customWidth="1"/>
    <col min="1027" max="1027" width="28.109375" customWidth="1"/>
    <col min="1028" max="1028" width="13.88671875" customWidth="1"/>
    <col min="1029" max="1029" width="14.5546875" customWidth="1"/>
    <col min="1030" max="1030" width="15.5546875" customWidth="1"/>
    <col min="1031" max="1031" width="14.5546875" customWidth="1"/>
    <col min="1032" max="1032" width="16.5546875" customWidth="1"/>
    <col min="1033" max="1033" width="14.5546875" customWidth="1"/>
    <col min="1034" max="1034" width="11.5546875" customWidth="1"/>
    <col min="1035" max="1035" width="12.88671875" customWidth="1"/>
    <col min="1036" max="1037" width="13.5546875" customWidth="1"/>
    <col min="1038" max="1038" width="13.44140625" bestFit="1" customWidth="1"/>
    <col min="1282" max="1282" width="6.109375" customWidth="1"/>
    <col min="1283" max="1283" width="28.109375" customWidth="1"/>
    <col min="1284" max="1284" width="13.88671875" customWidth="1"/>
    <col min="1285" max="1285" width="14.5546875" customWidth="1"/>
    <col min="1286" max="1286" width="15.5546875" customWidth="1"/>
    <col min="1287" max="1287" width="14.5546875" customWidth="1"/>
    <col min="1288" max="1288" width="16.5546875" customWidth="1"/>
    <col min="1289" max="1289" width="14.5546875" customWidth="1"/>
    <col min="1290" max="1290" width="11.5546875" customWidth="1"/>
    <col min="1291" max="1291" width="12.88671875" customWidth="1"/>
    <col min="1292" max="1293" width="13.5546875" customWidth="1"/>
    <col min="1294" max="1294" width="13.44140625" bestFit="1" customWidth="1"/>
    <col min="1538" max="1538" width="6.109375" customWidth="1"/>
    <col min="1539" max="1539" width="28.109375" customWidth="1"/>
    <col min="1540" max="1540" width="13.88671875" customWidth="1"/>
    <col min="1541" max="1541" width="14.5546875" customWidth="1"/>
    <col min="1542" max="1542" width="15.5546875" customWidth="1"/>
    <col min="1543" max="1543" width="14.5546875" customWidth="1"/>
    <col min="1544" max="1544" width="16.5546875" customWidth="1"/>
    <col min="1545" max="1545" width="14.5546875" customWidth="1"/>
    <col min="1546" max="1546" width="11.5546875" customWidth="1"/>
    <col min="1547" max="1547" width="12.88671875" customWidth="1"/>
    <col min="1548" max="1549" width="13.5546875" customWidth="1"/>
    <col min="1550" max="1550" width="13.44140625" bestFit="1" customWidth="1"/>
    <col min="1794" max="1794" width="6.109375" customWidth="1"/>
    <col min="1795" max="1795" width="28.109375" customWidth="1"/>
    <col min="1796" max="1796" width="13.88671875" customWidth="1"/>
    <col min="1797" max="1797" width="14.5546875" customWidth="1"/>
    <col min="1798" max="1798" width="15.5546875" customWidth="1"/>
    <col min="1799" max="1799" width="14.5546875" customWidth="1"/>
    <col min="1800" max="1800" width="16.5546875" customWidth="1"/>
    <col min="1801" max="1801" width="14.5546875" customWidth="1"/>
    <col min="1802" max="1802" width="11.5546875" customWidth="1"/>
    <col min="1803" max="1803" width="12.88671875" customWidth="1"/>
    <col min="1804" max="1805" width="13.5546875" customWidth="1"/>
    <col min="1806" max="1806" width="13.44140625" bestFit="1" customWidth="1"/>
    <col min="2050" max="2050" width="6.109375" customWidth="1"/>
    <col min="2051" max="2051" width="28.109375" customWidth="1"/>
    <col min="2052" max="2052" width="13.88671875" customWidth="1"/>
    <col min="2053" max="2053" width="14.5546875" customWidth="1"/>
    <col min="2054" max="2054" width="15.5546875" customWidth="1"/>
    <col min="2055" max="2055" width="14.5546875" customWidth="1"/>
    <col min="2056" max="2056" width="16.5546875" customWidth="1"/>
    <col min="2057" max="2057" width="14.5546875" customWidth="1"/>
    <col min="2058" max="2058" width="11.5546875" customWidth="1"/>
    <col min="2059" max="2059" width="12.88671875" customWidth="1"/>
    <col min="2060" max="2061" width="13.5546875" customWidth="1"/>
    <col min="2062" max="2062" width="13.44140625" bestFit="1" customWidth="1"/>
    <col min="2306" max="2306" width="6.109375" customWidth="1"/>
    <col min="2307" max="2307" width="28.109375" customWidth="1"/>
    <col min="2308" max="2308" width="13.88671875" customWidth="1"/>
    <col min="2309" max="2309" width="14.5546875" customWidth="1"/>
    <col min="2310" max="2310" width="15.5546875" customWidth="1"/>
    <col min="2311" max="2311" width="14.5546875" customWidth="1"/>
    <col min="2312" max="2312" width="16.5546875" customWidth="1"/>
    <col min="2313" max="2313" width="14.5546875" customWidth="1"/>
    <col min="2314" max="2314" width="11.5546875" customWidth="1"/>
    <col min="2315" max="2315" width="12.88671875" customWidth="1"/>
    <col min="2316" max="2317" width="13.5546875" customWidth="1"/>
    <col min="2318" max="2318" width="13.44140625" bestFit="1" customWidth="1"/>
    <col min="2562" max="2562" width="6.109375" customWidth="1"/>
    <col min="2563" max="2563" width="28.109375" customWidth="1"/>
    <col min="2564" max="2564" width="13.88671875" customWidth="1"/>
    <col min="2565" max="2565" width="14.5546875" customWidth="1"/>
    <col min="2566" max="2566" width="15.5546875" customWidth="1"/>
    <col min="2567" max="2567" width="14.5546875" customWidth="1"/>
    <col min="2568" max="2568" width="16.5546875" customWidth="1"/>
    <col min="2569" max="2569" width="14.5546875" customWidth="1"/>
    <col min="2570" max="2570" width="11.5546875" customWidth="1"/>
    <col min="2571" max="2571" width="12.88671875" customWidth="1"/>
    <col min="2572" max="2573" width="13.5546875" customWidth="1"/>
    <col min="2574" max="2574" width="13.44140625" bestFit="1" customWidth="1"/>
    <col min="2818" max="2818" width="6.109375" customWidth="1"/>
    <col min="2819" max="2819" width="28.109375" customWidth="1"/>
    <col min="2820" max="2820" width="13.88671875" customWidth="1"/>
    <col min="2821" max="2821" width="14.5546875" customWidth="1"/>
    <col min="2822" max="2822" width="15.5546875" customWidth="1"/>
    <col min="2823" max="2823" width="14.5546875" customWidth="1"/>
    <col min="2824" max="2824" width="16.5546875" customWidth="1"/>
    <col min="2825" max="2825" width="14.5546875" customWidth="1"/>
    <col min="2826" max="2826" width="11.5546875" customWidth="1"/>
    <col min="2827" max="2827" width="12.88671875" customWidth="1"/>
    <col min="2828" max="2829" width="13.5546875" customWidth="1"/>
    <col min="2830" max="2830" width="13.44140625" bestFit="1" customWidth="1"/>
    <col min="3074" max="3074" width="6.109375" customWidth="1"/>
    <col min="3075" max="3075" width="28.109375" customWidth="1"/>
    <col min="3076" max="3076" width="13.88671875" customWidth="1"/>
    <col min="3077" max="3077" width="14.5546875" customWidth="1"/>
    <col min="3078" max="3078" width="15.5546875" customWidth="1"/>
    <col min="3079" max="3079" width="14.5546875" customWidth="1"/>
    <col min="3080" max="3080" width="16.5546875" customWidth="1"/>
    <col min="3081" max="3081" width="14.5546875" customWidth="1"/>
    <col min="3082" max="3082" width="11.5546875" customWidth="1"/>
    <col min="3083" max="3083" width="12.88671875" customWidth="1"/>
    <col min="3084" max="3085" width="13.5546875" customWidth="1"/>
    <col min="3086" max="3086" width="13.44140625" bestFit="1" customWidth="1"/>
    <col min="3330" max="3330" width="6.109375" customWidth="1"/>
    <col min="3331" max="3331" width="28.109375" customWidth="1"/>
    <col min="3332" max="3332" width="13.88671875" customWidth="1"/>
    <col min="3333" max="3333" width="14.5546875" customWidth="1"/>
    <col min="3334" max="3334" width="15.5546875" customWidth="1"/>
    <col min="3335" max="3335" width="14.5546875" customWidth="1"/>
    <col min="3336" max="3336" width="16.5546875" customWidth="1"/>
    <col min="3337" max="3337" width="14.5546875" customWidth="1"/>
    <col min="3338" max="3338" width="11.5546875" customWidth="1"/>
    <col min="3339" max="3339" width="12.88671875" customWidth="1"/>
    <col min="3340" max="3341" width="13.5546875" customWidth="1"/>
    <col min="3342" max="3342" width="13.44140625" bestFit="1" customWidth="1"/>
    <col min="3586" max="3586" width="6.109375" customWidth="1"/>
    <col min="3587" max="3587" width="28.109375" customWidth="1"/>
    <col min="3588" max="3588" width="13.88671875" customWidth="1"/>
    <col min="3589" max="3589" width="14.5546875" customWidth="1"/>
    <col min="3590" max="3590" width="15.5546875" customWidth="1"/>
    <col min="3591" max="3591" width="14.5546875" customWidth="1"/>
    <col min="3592" max="3592" width="16.5546875" customWidth="1"/>
    <col min="3593" max="3593" width="14.5546875" customWidth="1"/>
    <col min="3594" max="3594" width="11.5546875" customWidth="1"/>
    <col min="3595" max="3595" width="12.88671875" customWidth="1"/>
    <col min="3596" max="3597" width="13.5546875" customWidth="1"/>
    <col min="3598" max="3598" width="13.44140625" bestFit="1" customWidth="1"/>
    <col min="3842" max="3842" width="6.109375" customWidth="1"/>
    <col min="3843" max="3843" width="28.109375" customWidth="1"/>
    <col min="3844" max="3844" width="13.88671875" customWidth="1"/>
    <col min="3845" max="3845" width="14.5546875" customWidth="1"/>
    <col min="3846" max="3846" width="15.5546875" customWidth="1"/>
    <col min="3847" max="3847" width="14.5546875" customWidth="1"/>
    <col min="3848" max="3848" width="16.5546875" customWidth="1"/>
    <col min="3849" max="3849" width="14.5546875" customWidth="1"/>
    <col min="3850" max="3850" width="11.5546875" customWidth="1"/>
    <col min="3851" max="3851" width="12.88671875" customWidth="1"/>
    <col min="3852" max="3853" width="13.5546875" customWidth="1"/>
    <col min="3854" max="3854" width="13.44140625" bestFit="1" customWidth="1"/>
    <col min="4098" max="4098" width="6.109375" customWidth="1"/>
    <col min="4099" max="4099" width="28.109375" customWidth="1"/>
    <col min="4100" max="4100" width="13.88671875" customWidth="1"/>
    <col min="4101" max="4101" width="14.5546875" customWidth="1"/>
    <col min="4102" max="4102" width="15.5546875" customWidth="1"/>
    <col min="4103" max="4103" width="14.5546875" customWidth="1"/>
    <col min="4104" max="4104" width="16.5546875" customWidth="1"/>
    <col min="4105" max="4105" width="14.5546875" customWidth="1"/>
    <col min="4106" max="4106" width="11.5546875" customWidth="1"/>
    <col min="4107" max="4107" width="12.88671875" customWidth="1"/>
    <col min="4108" max="4109" width="13.5546875" customWidth="1"/>
    <col min="4110" max="4110" width="13.44140625" bestFit="1" customWidth="1"/>
    <col min="4354" max="4354" width="6.109375" customWidth="1"/>
    <col min="4355" max="4355" width="28.109375" customWidth="1"/>
    <col min="4356" max="4356" width="13.88671875" customWidth="1"/>
    <col min="4357" max="4357" width="14.5546875" customWidth="1"/>
    <col min="4358" max="4358" width="15.5546875" customWidth="1"/>
    <col min="4359" max="4359" width="14.5546875" customWidth="1"/>
    <col min="4360" max="4360" width="16.5546875" customWidth="1"/>
    <col min="4361" max="4361" width="14.5546875" customWidth="1"/>
    <col min="4362" max="4362" width="11.5546875" customWidth="1"/>
    <col min="4363" max="4363" width="12.88671875" customWidth="1"/>
    <col min="4364" max="4365" width="13.5546875" customWidth="1"/>
    <col min="4366" max="4366" width="13.44140625" bestFit="1" customWidth="1"/>
    <col min="4610" max="4610" width="6.109375" customWidth="1"/>
    <col min="4611" max="4611" width="28.109375" customWidth="1"/>
    <col min="4612" max="4612" width="13.88671875" customWidth="1"/>
    <col min="4613" max="4613" width="14.5546875" customWidth="1"/>
    <col min="4614" max="4614" width="15.5546875" customWidth="1"/>
    <col min="4615" max="4615" width="14.5546875" customWidth="1"/>
    <col min="4616" max="4616" width="16.5546875" customWidth="1"/>
    <col min="4617" max="4617" width="14.5546875" customWidth="1"/>
    <col min="4618" max="4618" width="11.5546875" customWidth="1"/>
    <col min="4619" max="4619" width="12.88671875" customWidth="1"/>
    <col min="4620" max="4621" width="13.5546875" customWidth="1"/>
    <col min="4622" max="4622" width="13.44140625" bestFit="1" customWidth="1"/>
    <col min="4866" max="4866" width="6.109375" customWidth="1"/>
    <col min="4867" max="4867" width="28.109375" customWidth="1"/>
    <col min="4868" max="4868" width="13.88671875" customWidth="1"/>
    <col min="4869" max="4869" width="14.5546875" customWidth="1"/>
    <col min="4870" max="4870" width="15.5546875" customWidth="1"/>
    <col min="4871" max="4871" width="14.5546875" customWidth="1"/>
    <col min="4872" max="4872" width="16.5546875" customWidth="1"/>
    <col min="4873" max="4873" width="14.5546875" customWidth="1"/>
    <col min="4874" max="4874" width="11.5546875" customWidth="1"/>
    <col min="4875" max="4875" width="12.88671875" customWidth="1"/>
    <col min="4876" max="4877" width="13.5546875" customWidth="1"/>
    <col min="4878" max="4878" width="13.44140625" bestFit="1" customWidth="1"/>
    <col min="5122" max="5122" width="6.109375" customWidth="1"/>
    <col min="5123" max="5123" width="28.109375" customWidth="1"/>
    <col min="5124" max="5124" width="13.88671875" customWidth="1"/>
    <col min="5125" max="5125" width="14.5546875" customWidth="1"/>
    <col min="5126" max="5126" width="15.5546875" customWidth="1"/>
    <col min="5127" max="5127" width="14.5546875" customWidth="1"/>
    <col min="5128" max="5128" width="16.5546875" customWidth="1"/>
    <col min="5129" max="5129" width="14.5546875" customWidth="1"/>
    <col min="5130" max="5130" width="11.5546875" customWidth="1"/>
    <col min="5131" max="5131" width="12.88671875" customWidth="1"/>
    <col min="5132" max="5133" width="13.5546875" customWidth="1"/>
    <col min="5134" max="5134" width="13.44140625" bestFit="1" customWidth="1"/>
    <col min="5378" max="5378" width="6.109375" customWidth="1"/>
    <col min="5379" max="5379" width="28.109375" customWidth="1"/>
    <col min="5380" max="5380" width="13.88671875" customWidth="1"/>
    <col min="5381" max="5381" width="14.5546875" customWidth="1"/>
    <col min="5382" max="5382" width="15.5546875" customWidth="1"/>
    <col min="5383" max="5383" width="14.5546875" customWidth="1"/>
    <col min="5384" max="5384" width="16.5546875" customWidth="1"/>
    <col min="5385" max="5385" width="14.5546875" customWidth="1"/>
    <col min="5386" max="5386" width="11.5546875" customWidth="1"/>
    <col min="5387" max="5387" width="12.88671875" customWidth="1"/>
    <col min="5388" max="5389" width="13.5546875" customWidth="1"/>
    <col min="5390" max="5390" width="13.44140625" bestFit="1" customWidth="1"/>
    <col min="5634" max="5634" width="6.109375" customWidth="1"/>
    <col min="5635" max="5635" width="28.109375" customWidth="1"/>
    <col min="5636" max="5636" width="13.88671875" customWidth="1"/>
    <col min="5637" max="5637" width="14.5546875" customWidth="1"/>
    <col min="5638" max="5638" width="15.5546875" customWidth="1"/>
    <col min="5639" max="5639" width="14.5546875" customWidth="1"/>
    <col min="5640" max="5640" width="16.5546875" customWidth="1"/>
    <col min="5641" max="5641" width="14.5546875" customWidth="1"/>
    <col min="5642" max="5642" width="11.5546875" customWidth="1"/>
    <col min="5643" max="5643" width="12.88671875" customWidth="1"/>
    <col min="5644" max="5645" width="13.5546875" customWidth="1"/>
    <col min="5646" max="5646" width="13.44140625" bestFit="1" customWidth="1"/>
    <col min="5890" max="5890" width="6.109375" customWidth="1"/>
    <col min="5891" max="5891" width="28.109375" customWidth="1"/>
    <col min="5892" max="5892" width="13.88671875" customWidth="1"/>
    <col min="5893" max="5893" width="14.5546875" customWidth="1"/>
    <col min="5894" max="5894" width="15.5546875" customWidth="1"/>
    <col min="5895" max="5895" width="14.5546875" customWidth="1"/>
    <col min="5896" max="5896" width="16.5546875" customWidth="1"/>
    <col min="5897" max="5897" width="14.5546875" customWidth="1"/>
    <col min="5898" max="5898" width="11.5546875" customWidth="1"/>
    <col min="5899" max="5899" width="12.88671875" customWidth="1"/>
    <col min="5900" max="5901" width="13.5546875" customWidth="1"/>
    <col min="5902" max="5902" width="13.44140625" bestFit="1" customWidth="1"/>
    <col min="6146" max="6146" width="6.109375" customWidth="1"/>
    <col min="6147" max="6147" width="28.109375" customWidth="1"/>
    <col min="6148" max="6148" width="13.88671875" customWidth="1"/>
    <col min="6149" max="6149" width="14.5546875" customWidth="1"/>
    <col min="6150" max="6150" width="15.5546875" customWidth="1"/>
    <col min="6151" max="6151" width="14.5546875" customWidth="1"/>
    <col min="6152" max="6152" width="16.5546875" customWidth="1"/>
    <col min="6153" max="6153" width="14.5546875" customWidth="1"/>
    <col min="6154" max="6154" width="11.5546875" customWidth="1"/>
    <col min="6155" max="6155" width="12.88671875" customWidth="1"/>
    <col min="6156" max="6157" width="13.5546875" customWidth="1"/>
    <col min="6158" max="6158" width="13.44140625" bestFit="1" customWidth="1"/>
    <col min="6402" max="6402" width="6.109375" customWidth="1"/>
    <col min="6403" max="6403" width="28.109375" customWidth="1"/>
    <col min="6404" max="6404" width="13.88671875" customWidth="1"/>
    <col min="6405" max="6405" width="14.5546875" customWidth="1"/>
    <col min="6406" max="6406" width="15.5546875" customWidth="1"/>
    <col min="6407" max="6407" width="14.5546875" customWidth="1"/>
    <col min="6408" max="6408" width="16.5546875" customWidth="1"/>
    <col min="6409" max="6409" width="14.5546875" customWidth="1"/>
    <col min="6410" max="6410" width="11.5546875" customWidth="1"/>
    <col min="6411" max="6411" width="12.88671875" customWidth="1"/>
    <col min="6412" max="6413" width="13.5546875" customWidth="1"/>
    <col min="6414" max="6414" width="13.44140625" bestFit="1" customWidth="1"/>
    <col min="6658" max="6658" width="6.109375" customWidth="1"/>
    <col min="6659" max="6659" width="28.109375" customWidth="1"/>
    <col min="6660" max="6660" width="13.88671875" customWidth="1"/>
    <col min="6661" max="6661" width="14.5546875" customWidth="1"/>
    <col min="6662" max="6662" width="15.5546875" customWidth="1"/>
    <col min="6663" max="6663" width="14.5546875" customWidth="1"/>
    <col min="6664" max="6664" width="16.5546875" customWidth="1"/>
    <col min="6665" max="6665" width="14.5546875" customWidth="1"/>
    <col min="6666" max="6666" width="11.5546875" customWidth="1"/>
    <col min="6667" max="6667" width="12.88671875" customWidth="1"/>
    <col min="6668" max="6669" width="13.5546875" customWidth="1"/>
    <col min="6670" max="6670" width="13.44140625" bestFit="1" customWidth="1"/>
    <col min="6914" max="6914" width="6.109375" customWidth="1"/>
    <col min="6915" max="6915" width="28.109375" customWidth="1"/>
    <col min="6916" max="6916" width="13.88671875" customWidth="1"/>
    <col min="6917" max="6917" width="14.5546875" customWidth="1"/>
    <col min="6918" max="6918" width="15.5546875" customWidth="1"/>
    <col min="6919" max="6919" width="14.5546875" customWidth="1"/>
    <col min="6920" max="6920" width="16.5546875" customWidth="1"/>
    <col min="6921" max="6921" width="14.5546875" customWidth="1"/>
    <col min="6922" max="6922" width="11.5546875" customWidth="1"/>
    <col min="6923" max="6923" width="12.88671875" customWidth="1"/>
    <col min="6924" max="6925" width="13.5546875" customWidth="1"/>
    <col min="6926" max="6926" width="13.44140625" bestFit="1" customWidth="1"/>
    <col min="7170" max="7170" width="6.109375" customWidth="1"/>
    <col min="7171" max="7171" width="28.109375" customWidth="1"/>
    <col min="7172" max="7172" width="13.88671875" customWidth="1"/>
    <col min="7173" max="7173" width="14.5546875" customWidth="1"/>
    <col min="7174" max="7174" width="15.5546875" customWidth="1"/>
    <col min="7175" max="7175" width="14.5546875" customWidth="1"/>
    <col min="7176" max="7176" width="16.5546875" customWidth="1"/>
    <col min="7177" max="7177" width="14.5546875" customWidth="1"/>
    <col min="7178" max="7178" width="11.5546875" customWidth="1"/>
    <col min="7179" max="7179" width="12.88671875" customWidth="1"/>
    <col min="7180" max="7181" width="13.5546875" customWidth="1"/>
    <col min="7182" max="7182" width="13.44140625" bestFit="1" customWidth="1"/>
    <col min="7426" max="7426" width="6.109375" customWidth="1"/>
    <col min="7427" max="7427" width="28.109375" customWidth="1"/>
    <col min="7428" max="7428" width="13.88671875" customWidth="1"/>
    <col min="7429" max="7429" width="14.5546875" customWidth="1"/>
    <col min="7430" max="7430" width="15.5546875" customWidth="1"/>
    <col min="7431" max="7431" width="14.5546875" customWidth="1"/>
    <col min="7432" max="7432" width="16.5546875" customWidth="1"/>
    <col min="7433" max="7433" width="14.5546875" customWidth="1"/>
    <col min="7434" max="7434" width="11.5546875" customWidth="1"/>
    <col min="7435" max="7435" width="12.88671875" customWidth="1"/>
    <col min="7436" max="7437" width="13.5546875" customWidth="1"/>
    <col min="7438" max="7438" width="13.44140625" bestFit="1" customWidth="1"/>
    <col min="7682" max="7682" width="6.109375" customWidth="1"/>
    <col min="7683" max="7683" width="28.109375" customWidth="1"/>
    <col min="7684" max="7684" width="13.88671875" customWidth="1"/>
    <col min="7685" max="7685" width="14.5546875" customWidth="1"/>
    <col min="7686" max="7686" width="15.5546875" customWidth="1"/>
    <col min="7687" max="7687" width="14.5546875" customWidth="1"/>
    <col min="7688" max="7688" width="16.5546875" customWidth="1"/>
    <col min="7689" max="7689" width="14.5546875" customWidth="1"/>
    <col min="7690" max="7690" width="11.5546875" customWidth="1"/>
    <col min="7691" max="7691" width="12.88671875" customWidth="1"/>
    <col min="7692" max="7693" width="13.5546875" customWidth="1"/>
    <col min="7694" max="7694" width="13.44140625" bestFit="1" customWidth="1"/>
    <col min="7938" max="7938" width="6.109375" customWidth="1"/>
    <col min="7939" max="7939" width="28.109375" customWidth="1"/>
    <col min="7940" max="7940" width="13.88671875" customWidth="1"/>
    <col min="7941" max="7941" width="14.5546875" customWidth="1"/>
    <col min="7942" max="7942" width="15.5546875" customWidth="1"/>
    <col min="7943" max="7943" width="14.5546875" customWidth="1"/>
    <col min="7944" max="7944" width="16.5546875" customWidth="1"/>
    <col min="7945" max="7945" width="14.5546875" customWidth="1"/>
    <col min="7946" max="7946" width="11.5546875" customWidth="1"/>
    <col min="7947" max="7947" width="12.88671875" customWidth="1"/>
    <col min="7948" max="7949" width="13.5546875" customWidth="1"/>
    <col min="7950" max="7950" width="13.44140625" bestFit="1" customWidth="1"/>
    <col min="8194" max="8194" width="6.109375" customWidth="1"/>
    <col min="8195" max="8195" width="28.109375" customWidth="1"/>
    <col min="8196" max="8196" width="13.88671875" customWidth="1"/>
    <col min="8197" max="8197" width="14.5546875" customWidth="1"/>
    <col min="8198" max="8198" width="15.5546875" customWidth="1"/>
    <col min="8199" max="8199" width="14.5546875" customWidth="1"/>
    <col min="8200" max="8200" width="16.5546875" customWidth="1"/>
    <col min="8201" max="8201" width="14.5546875" customWidth="1"/>
    <col min="8202" max="8202" width="11.5546875" customWidth="1"/>
    <col min="8203" max="8203" width="12.88671875" customWidth="1"/>
    <col min="8204" max="8205" width="13.5546875" customWidth="1"/>
    <col min="8206" max="8206" width="13.44140625" bestFit="1" customWidth="1"/>
    <col min="8450" max="8450" width="6.109375" customWidth="1"/>
    <col min="8451" max="8451" width="28.109375" customWidth="1"/>
    <col min="8452" max="8452" width="13.88671875" customWidth="1"/>
    <col min="8453" max="8453" width="14.5546875" customWidth="1"/>
    <col min="8454" max="8454" width="15.5546875" customWidth="1"/>
    <col min="8455" max="8455" width="14.5546875" customWidth="1"/>
    <col min="8456" max="8456" width="16.5546875" customWidth="1"/>
    <col min="8457" max="8457" width="14.5546875" customWidth="1"/>
    <col min="8458" max="8458" width="11.5546875" customWidth="1"/>
    <col min="8459" max="8459" width="12.88671875" customWidth="1"/>
    <col min="8460" max="8461" width="13.5546875" customWidth="1"/>
    <col min="8462" max="8462" width="13.44140625" bestFit="1" customWidth="1"/>
    <col min="8706" max="8706" width="6.109375" customWidth="1"/>
    <col min="8707" max="8707" width="28.109375" customWidth="1"/>
    <col min="8708" max="8708" width="13.88671875" customWidth="1"/>
    <col min="8709" max="8709" width="14.5546875" customWidth="1"/>
    <col min="8710" max="8710" width="15.5546875" customWidth="1"/>
    <col min="8711" max="8711" width="14.5546875" customWidth="1"/>
    <col min="8712" max="8712" width="16.5546875" customWidth="1"/>
    <col min="8713" max="8713" width="14.5546875" customWidth="1"/>
    <col min="8714" max="8714" width="11.5546875" customWidth="1"/>
    <col min="8715" max="8715" width="12.88671875" customWidth="1"/>
    <col min="8716" max="8717" width="13.5546875" customWidth="1"/>
    <col min="8718" max="8718" width="13.44140625" bestFit="1" customWidth="1"/>
    <col min="8962" max="8962" width="6.109375" customWidth="1"/>
    <col min="8963" max="8963" width="28.109375" customWidth="1"/>
    <col min="8964" max="8964" width="13.88671875" customWidth="1"/>
    <col min="8965" max="8965" width="14.5546875" customWidth="1"/>
    <col min="8966" max="8966" width="15.5546875" customWidth="1"/>
    <col min="8967" max="8967" width="14.5546875" customWidth="1"/>
    <col min="8968" max="8968" width="16.5546875" customWidth="1"/>
    <col min="8969" max="8969" width="14.5546875" customWidth="1"/>
    <col min="8970" max="8970" width="11.5546875" customWidth="1"/>
    <col min="8971" max="8971" width="12.88671875" customWidth="1"/>
    <col min="8972" max="8973" width="13.5546875" customWidth="1"/>
    <col min="8974" max="8974" width="13.44140625" bestFit="1" customWidth="1"/>
    <col min="9218" max="9218" width="6.109375" customWidth="1"/>
    <col min="9219" max="9219" width="28.109375" customWidth="1"/>
    <col min="9220" max="9220" width="13.88671875" customWidth="1"/>
    <col min="9221" max="9221" width="14.5546875" customWidth="1"/>
    <col min="9222" max="9222" width="15.5546875" customWidth="1"/>
    <col min="9223" max="9223" width="14.5546875" customWidth="1"/>
    <col min="9224" max="9224" width="16.5546875" customWidth="1"/>
    <col min="9225" max="9225" width="14.5546875" customWidth="1"/>
    <col min="9226" max="9226" width="11.5546875" customWidth="1"/>
    <col min="9227" max="9227" width="12.88671875" customWidth="1"/>
    <col min="9228" max="9229" width="13.5546875" customWidth="1"/>
    <col min="9230" max="9230" width="13.44140625" bestFit="1" customWidth="1"/>
    <col min="9474" max="9474" width="6.109375" customWidth="1"/>
    <col min="9475" max="9475" width="28.109375" customWidth="1"/>
    <col min="9476" max="9476" width="13.88671875" customWidth="1"/>
    <col min="9477" max="9477" width="14.5546875" customWidth="1"/>
    <col min="9478" max="9478" width="15.5546875" customWidth="1"/>
    <col min="9479" max="9479" width="14.5546875" customWidth="1"/>
    <col min="9480" max="9480" width="16.5546875" customWidth="1"/>
    <col min="9481" max="9481" width="14.5546875" customWidth="1"/>
    <col min="9482" max="9482" width="11.5546875" customWidth="1"/>
    <col min="9483" max="9483" width="12.88671875" customWidth="1"/>
    <col min="9484" max="9485" width="13.5546875" customWidth="1"/>
    <col min="9486" max="9486" width="13.44140625" bestFit="1" customWidth="1"/>
    <col min="9730" max="9730" width="6.109375" customWidth="1"/>
    <col min="9731" max="9731" width="28.109375" customWidth="1"/>
    <col min="9732" max="9732" width="13.88671875" customWidth="1"/>
    <col min="9733" max="9733" width="14.5546875" customWidth="1"/>
    <col min="9734" max="9734" width="15.5546875" customWidth="1"/>
    <col min="9735" max="9735" width="14.5546875" customWidth="1"/>
    <col min="9736" max="9736" width="16.5546875" customWidth="1"/>
    <col min="9737" max="9737" width="14.5546875" customWidth="1"/>
    <col min="9738" max="9738" width="11.5546875" customWidth="1"/>
    <col min="9739" max="9739" width="12.88671875" customWidth="1"/>
    <col min="9740" max="9741" width="13.5546875" customWidth="1"/>
    <col min="9742" max="9742" width="13.44140625" bestFit="1" customWidth="1"/>
    <col min="9986" max="9986" width="6.109375" customWidth="1"/>
    <col min="9987" max="9987" width="28.109375" customWidth="1"/>
    <col min="9988" max="9988" width="13.88671875" customWidth="1"/>
    <col min="9989" max="9989" width="14.5546875" customWidth="1"/>
    <col min="9990" max="9990" width="15.5546875" customWidth="1"/>
    <col min="9991" max="9991" width="14.5546875" customWidth="1"/>
    <col min="9992" max="9992" width="16.5546875" customWidth="1"/>
    <col min="9993" max="9993" width="14.5546875" customWidth="1"/>
    <col min="9994" max="9994" width="11.5546875" customWidth="1"/>
    <col min="9995" max="9995" width="12.88671875" customWidth="1"/>
    <col min="9996" max="9997" width="13.5546875" customWidth="1"/>
    <col min="9998" max="9998" width="13.44140625" bestFit="1" customWidth="1"/>
    <col min="10242" max="10242" width="6.109375" customWidth="1"/>
    <col min="10243" max="10243" width="28.109375" customWidth="1"/>
    <col min="10244" max="10244" width="13.88671875" customWidth="1"/>
    <col min="10245" max="10245" width="14.5546875" customWidth="1"/>
    <col min="10246" max="10246" width="15.5546875" customWidth="1"/>
    <col min="10247" max="10247" width="14.5546875" customWidth="1"/>
    <col min="10248" max="10248" width="16.5546875" customWidth="1"/>
    <col min="10249" max="10249" width="14.5546875" customWidth="1"/>
    <col min="10250" max="10250" width="11.5546875" customWidth="1"/>
    <col min="10251" max="10251" width="12.88671875" customWidth="1"/>
    <col min="10252" max="10253" width="13.5546875" customWidth="1"/>
    <col min="10254" max="10254" width="13.44140625" bestFit="1" customWidth="1"/>
    <col min="10498" max="10498" width="6.109375" customWidth="1"/>
    <col min="10499" max="10499" width="28.109375" customWidth="1"/>
    <col min="10500" max="10500" width="13.88671875" customWidth="1"/>
    <col min="10501" max="10501" width="14.5546875" customWidth="1"/>
    <col min="10502" max="10502" width="15.5546875" customWidth="1"/>
    <col min="10503" max="10503" width="14.5546875" customWidth="1"/>
    <col min="10504" max="10504" width="16.5546875" customWidth="1"/>
    <col min="10505" max="10505" width="14.5546875" customWidth="1"/>
    <col min="10506" max="10506" width="11.5546875" customWidth="1"/>
    <col min="10507" max="10507" width="12.88671875" customWidth="1"/>
    <col min="10508" max="10509" width="13.5546875" customWidth="1"/>
    <col min="10510" max="10510" width="13.44140625" bestFit="1" customWidth="1"/>
    <col min="10754" max="10754" width="6.109375" customWidth="1"/>
    <col min="10755" max="10755" width="28.109375" customWidth="1"/>
    <col min="10756" max="10756" width="13.88671875" customWidth="1"/>
    <col min="10757" max="10757" width="14.5546875" customWidth="1"/>
    <col min="10758" max="10758" width="15.5546875" customWidth="1"/>
    <col min="10759" max="10759" width="14.5546875" customWidth="1"/>
    <col min="10760" max="10760" width="16.5546875" customWidth="1"/>
    <col min="10761" max="10761" width="14.5546875" customWidth="1"/>
    <col min="10762" max="10762" width="11.5546875" customWidth="1"/>
    <col min="10763" max="10763" width="12.88671875" customWidth="1"/>
    <col min="10764" max="10765" width="13.5546875" customWidth="1"/>
    <col min="10766" max="10766" width="13.44140625" bestFit="1" customWidth="1"/>
    <col min="11010" max="11010" width="6.109375" customWidth="1"/>
    <col min="11011" max="11011" width="28.109375" customWidth="1"/>
    <col min="11012" max="11012" width="13.88671875" customWidth="1"/>
    <col min="11013" max="11013" width="14.5546875" customWidth="1"/>
    <col min="11014" max="11014" width="15.5546875" customWidth="1"/>
    <col min="11015" max="11015" width="14.5546875" customWidth="1"/>
    <col min="11016" max="11016" width="16.5546875" customWidth="1"/>
    <col min="11017" max="11017" width="14.5546875" customWidth="1"/>
    <col min="11018" max="11018" width="11.5546875" customWidth="1"/>
    <col min="11019" max="11019" width="12.88671875" customWidth="1"/>
    <col min="11020" max="11021" width="13.5546875" customWidth="1"/>
    <col min="11022" max="11022" width="13.44140625" bestFit="1" customWidth="1"/>
    <col min="11266" max="11266" width="6.109375" customWidth="1"/>
    <col min="11267" max="11267" width="28.109375" customWidth="1"/>
    <col min="11268" max="11268" width="13.88671875" customWidth="1"/>
    <col min="11269" max="11269" width="14.5546875" customWidth="1"/>
    <col min="11270" max="11270" width="15.5546875" customWidth="1"/>
    <col min="11271" max="11271" width="14.5546875" customWidth="1"/>
    <col min="11272" max="11272" width="16.5546875" customWidth="1"/>
    <col min="11273" max="11273" width="14.5546875" customWidth="1"/>
    <col min="11274" max="11274" width="11.5546875" customWidth="1"/>
    <col min="11275" max="11275" width="12.88671875" customWidth="1"/>
    <col min="11276" max="11277" width="13.5546875" customWidth="1"/>
    <col min="11278" max="11278" width="13.44140625" bestFit="1" customWidth="1"/>
    <col min="11522" max="11522" width="6.109375" customWidth="1"/>
    <col min="11523" max="11523" width="28.109375" customWidth="1"/>
    <col min="11524" max="11524" width="13.88671875" customWidth="1"/>
    <col min="11525" max="11525" width="14.5546875" customWidth="1"/>
    <col min="11526" max="11526" width="15.5546875" customWidth="1"/>
    <col min="11527" max="11527" width="14.5546875" customWidth="1"/>
    <col min="11528" max="11528" width="16.5546875" customWidth="1"/>
    <col min="11529" max="11529" width="14.5546875" customWidth="1"/>
    <col min="11530" max="11530" width="11.5546875" customWidth="1"/>
    <col min="11531" max="11531" width="12.88671875" customWidth="1"/>
    <col min="11532" max="11533" width="13.5546875" customWidth="1"/>
    <col min="11534" max="11534" width="13.44140625" bestFit="1" customWidth="1"/>
    <col min="11778" max="11778" width="6.109375" customWidth="1"/>
    <col min="11779" max="11779" width="28.109375" customWidth="1"/>
    <col min="11780" max="11780" width="13.88671875" customWidth="1"/>
    <col min="11781" max="11781" width="14.5546875" customWidth="1"/>
    <col min="11782" max="11782" width="15.5546875" customWidth="1"/>
    <col min="11783" max="11783" width="14.5546875" customWidth="1"/>
    <col min="11784" max="11784" width="16.5546875" customWidth="1"/>
    <col min="11785" max="11785" width="14.5546875" customWidth="1"/>
    <col min="11786" max="11786" width="11.5546875" customWidth="1"/>
    <col min="11787" max="11787" width="12.88671875" customWidth="1"/>
    <col min="11788" max="11789" width="13.5546875" customWidth="1"/>
    <col min="11790" max="11790" width="13.44140625" bestFit="1" customWidth="1"/>
    <col min="12034" max="12034" width="6.109375" customWidth="1"/>
    <col min="12035" max="12035" width="28.109375" customWidth="1"/>
    <col min="12036" max="12036" width="13.88671875" customWidth="1"/>
    <col min="12037" max="12037" width="14.5546875" customWidth="1"/>
    <col min="12038" max="12038" width="15.5546875" customWidth="1"/>
    <col min="12039" max="12039" width="14.5546875" customWidth="1"/>
    <col min="12040" max="12040" width="16.5546875" customWidth="1"/>
    <col min="12041" max="12041" width="14.5546875" customWidth="1"/>
    <col min="12042" max="12042" width="11.5546875" customWidth="1"/>
    <col min="12043" max="12043" width="12.88671875" customWidth="1"/>
    <col min="12044" max="12045" width="13.5546875" customWidth="1"/>
    <col min="12046" max="12046" width="13.44140625" bestFit="1" customWidth="1"/>
    <col min="12290" max="12290" width="6.109375" customWidth="1"/>
    <col min="12291" max="12291" width="28.109375" customWidth="1"/>
    <col min="12292" max="12292" width="13.88671875" customWidth="1"/>
    <col min="12293" max="12293" width="14.5546875" customWidth="1"/>
    <col min="12294" max="12294" width="15.5546875" customWidth="1"/>
    <col min="12295" max="12295" width="14.5546875" customWidth="1"/>
    <col min="12296" max="12296" width="16.5546875" customWidth="1"/>
    <col min="12297" max="12297" width="14.5546875" customWidth="1"/>
    <col min="12298" max="12298" width="11.5546875" customWidth="1"/>
    <col min="12299" max="12299" width="12.88671875" customWidth="1"/>
    <col min="12300" max="12301" width="13.5546875" customWidth="1"/>
    <col min="12302" max="12302" width="13.44140625" bestFit="1" customWidth="1"/>
    <col min="12546" max="12546" width="6.109375" customWidth="1"/>
    <col min="12547" max="12547" width="28.109375" customWidth="1"/>
    <col min="12548" max="12548" width="13.88671875" customWidth="1"/>
    <col min="12549" max="12549" width="14.5546875" customWidth="1"/>
    <col min="12550" max="12550" width="15.5546875" customWidth="1"/>
    <col min="12551" max="12551" width="14.5546875" customWidth="1"/>
    <col min="12552" max="12552" width="16.5546875" customWidth="1"/>
    <col min="12553" max="12553" width="14.5546875" customWidth="1"/>
    <col min="12554" max="12554" width="11.5546875" customWidth="1"/>
    <col min="12555" max="12555" width="12.88671875" customWidth="1"/>
    <col min="12556" max="12557" width="13.5546875" customWidth="1"/>
    <col min="12558" max="12558" width="13.44140625" bestFit="1" customWidth="1"/>
    <col min="12802" max="12802" width="6.109375" customWidth="1"/>
    <col min="12803" max="12803" width="28.109375" customWidth="1"/>
    <col min="12804" max="12804" width="13.88671875" customWidth="1"/>
    <col min="12805" max="12805" width="14.5546875" customWidth="1"/>
    <col min="12806" max="12806" width="15.5546875" customWidth="1"/>
    <col min="12807" max="12807" width="14.5546875" customWidth="1"/>
    <col min="12808" max="12808" width="16.5546875" customWidth="1"/>
    <col min="12809" max="12809" width="14.5546875" customWidth="1"/>
    <col min="12810" max="12810" width="11.5546875" customWidth="1"/>
    <col min="12811" max="12811" width="12.88671875" customWidth="1"/>
    <col min="12812" max="12813" width="13.5546875" customWidth="1"/>
    <col min="12814" max="12814" width="13.44140625" bestFit="1" customWidth="1"/>
    <col min="13058" max="13058" width="6.109375" customWidth="1"/>
    <col min="13059" max="13059" width="28.109375" customWidth="1"/>
    <col min="13060" max="13060" width="13.88671875" customWidth="1"/>
    <col min="13061" max="13061" width="14.5546875" customWidth="1"/>
    <col min="13062" max="13062" width="15.5546875" customWidth="1"/>
    <col min="13063" max="13063" width="14.5546875" customWidth="1"/>
    <col min="13064" max="13064" width="16.5546875" customWidth="1"/>
    <col min="13065" max="13065" width="14.5546875" customWidth="1"/>
    <col min="13066" max="13066" width="11.5546875" customWidth="1"/>
    <col min="13067" max="13067" width="12.88671875" customWidth="1"/>
    <col min="13068" max="13069" width="13.5546875" customWidth="1"/>
    <col min="13070" max="13070" width="13.44140625" bestFit="1" customWidth="1"/>
    <col min="13314" max="13314" width="6.109375" customWidth="1"/>
    <col min="13315" max="13315" width="28.109375" customWidth="1"/>
    <col min="13316" max="13316" width="13.88671875" customWidth="1"/>
    <col min="13317" max="13317" width="14.5546875" customWidth="1"/>
    <col min="13318" max="13318" width="15.5546875" customWidth="1"/>
    <col min="13319" max="13319" width="14.5546875" customWidth="1"/>
    <col min="13320" max="13320" width="16.5546875" customWidth="1"/>
    <col min="13321" max="13321" width="14.5546875" customWidth="1"/>
    <col min="13322" max="13322" width="11.5546875" customWidth="1"/>
    <col min="13323" max="13323" width="12.88671875" customWidth="1"/>
    <col min="13324" max="13325" width="13.5546875" customWidth="1"/>
    <col min="13326" max="13326" width="13.44140625" bestFit="1" customWidth="1"/>
    <col min="13570" max="13570" width="6.109375" customWidth="1"/>
    <col min="13571" max="13571" width="28.109375" customWidth="1"/>
    <col min="13572" max="13572" width="13.88671875" customWidth="1"/>
    <col min="13573" max="13573" width="14.5546875" customWidth="1"/>
    <col min="13574" max="13574" width="15.5546875" customWidth="1"/>
    <col min="13575" max="13575" width="14.5546875" customWidth="1"/>
    <col min="13576" max="13576" width="16.5546875" customWidth="1"/>
    <col min="13577" max="13577" width="14.5546875" customWidth="1"/>
    <col min="13578" max="13578" width="11.5546875" customWidth="1"/>
    <col min="13579" max="13579" width="12.88671875" customWidth="1"/>
    <col min="13580" max="13581" width="13.5546875" customWidth="1"/>
    <col min="13582" max="13582" width="13.44140625" bestFit="1" customWidth="1"/>
    <col min="13826" max="13826" width="6.109375" customWidth="1"/>
    <col min="13827" max="13827" width="28.109375" customWidth="1"/>
    <col min="13828" max="13828" width="13.88671875" customWidth="1"/>
    <col min="13829" max="13829" width="14.5546875" customWidth="1"/>
    <col min="13830" max="13830" width="15.5546875" customWidth="1"/>
    <col min="13831" max="13831" width="14.5546875" customWidth="1"/>
    <col min="13832" max="13832" width="16.5546875" customWidth="1"/>
    <col min="13833" max="13833" width="14.5546875" customWidth="1"/>
    <col min="13834" max="13834" width="11.5546875" customWidth="1"/>
    <col min="13835" max="13835" width="12.88671875" customWidth="1"/>
    <col min="13836" max="13837" width="13.5546875" customWidth="1"/>
    <col min="13838" max="13838" width="13.44140625" bestFit="1" customWidth="1"/>
    <col min="14082" max="14082" width="6.109375" customWidth="1"/>
    <col min="14083" max="14083" width="28.109375" customWidth="1"/>
    <col min="14084" max="14084" width="13.88671875" customWidth="1"/>
    <col min="14085" max="14085" width="14.5546875" customWidth="1"/>
    <col min="14086" max="14086" width="15.5546875" customWidth="1"/>
    <col min="14087" max="14087" width="14.5546875" customWidth="1"/>
    <col min="14088" max="14088" width="16.5546875" customWidth="1"/>
    <col min="14089" max="14089" width="14.5546875" customWidth="1"/>
    <col min="14090" max="14090" width="11.5546875" customWidth="1"/>
    <col min="14091" max="14091" width="12.88671875" customWidth="1"/>
    <col min="14092" max="14093" width="13.5546875" customWidth="1"/>
    <col min="14094" max="14094" width="13.44140625" bestFit="1" customWidth="1"/>
    <col min="14338" max="14338" width="6.109375" customWidth="1"/>
    <col min="14339" max="14339" width="28.109375" customWidth="1"/>
    <col min="14340" max="14340" width="13.88671875" customWidth="1"/>
    <col min="14341" max="14341" width="14.5546875" customWidth="1"/>
    <col min="14342" max="14342" width="15.5546875" customWidth="1"/>
    <col min="14343" max="14343" width="14.5546875" customWidth="1"/>
    <col min="14344" max="14344" width="16.5546875" customWidth="1"/>
    <col min="14345" max="14345" width="14.5546875" customWidth="1"/>
    <col min="14346" max="14346" width="11.5546875" customWidth="1"/>
    <col min="14347" max="14347" width="12.88671875" customWidth="1"/>
    <col min="14348" max="14349" width="13.5546875" customWidth="1"/>
    <col min="14350" max="14350" width="13.44140625" bestFit="1" customWidth="1"/>
    <col min="14594" max="14594" width="6.109375" customWidth="1"/>
    <col min="14595" max="14595" width="28.109375" customWidth="1"/>
    <col min="14596" max="14596" width="13.88671875" customWidth="1"/>
    <col min="14597" max="14597" width="14.5546875" customWidth="1"/>
    <col min="14598" max="14598" width="15.5546875" customWidth="1"/>
    <col min="14599" max="14599" width="14.5546875" customWidth="1"/>
    <col min="14600" max="14600" width="16.5546875" customWidth="1"/>
    <col min="14601" max="14601" width="14.5546875" customWidth="1"/>
    <col min="14602" max="14602" width="11.5546875" customWidth="1"/>
    <col min="14603" max="14603" width="12.88671875" customWidth="1"/>
    <col min="14604" max="14605" width="13.5546875" customWidth="1"/>
    <col min="14606" max="14606" width="13.44140625" bestFit="1" customWidth="1"/>
    <col min="14850" max="14850" width="6.109375" customWidth="1"/>
    <col min="14851" max="14851" width="28.109375" customWidth="1"/>
    <col min="14852" max="14852" width="13.88671875" customWidth="1"/>
    <col min="14853" max="14853" width="14.5546875" customWidth="1"/>
    <col min="14854" max="14854" width="15.5546875" customWidth="1"/>
    <col min="14855" max="14855" width="14.5546875" customWidth="1"/>
    <col min="14856" max="14856" width="16.5546875" customWidth="1"/>
    <col min="14857" max="14857" width="14.5546875" customWidth="1"/>
    <col min="14858" max="14858" width="11.5546875" customWidth="1"/>
    <col min="14859" max="14859" width="12.88671875" customWidth="1"/>
    <col min="14860" max="14861" width="13.5546875" customWidth="1"/>
    <col min="14862" max="14862" width="13.44140625" bestFit="1" customWidth="1"/>
    <col min="15106" max="15106" width="6.109375" customWidth="1"/>
    <col min="15107" max="15107" width="28.109375" customWidth="1"/>
    <col min="15108" max="15108" width="13.88671875" customWidth="1"/>
    <col min="15109" max="15109" width="14.5546875" customWidth="1"/>
    <col min="15110" max="15110" width="15.5546875" customWidth="1"/>
    <col min="15111" max="15111" width="14.5546875" customWidth="1"/>
    <col min="15112" max="15112" width="16.5546875" customWidth="1"/>
    <col min="15113" max="15113" width="14.5546875" customWidth="1"/>
    <col min="15114" max="15114" width="11.5546875" customWidth="1"/>
    <col min="15115" max="15115" width="12.88671875" customWidth="1"/>
    <col min="15116" max="15117" width="13.5546875" customWidth="1"/>
    <col min="15118" max="15118" width="13.44140625" bestFit="1" customWidth="1"/>
    <col min="15362" max="15362" width="6.109375" customWidth="1"/>
    <col min="15363" max="15363" width="28.109375" customWidth="1"/>
    <col min="15364" max="15364" width="13.88671875" customWidth="1"/>
    <col min="15365" max="15365" width="14.5546875" customWidth="1"/>
    <col min="15366" max="15366" width="15.5546875" customWidth="1"/>
    <col min="15367" max="15367" width="14.5546875" customWidth="1"/>
    <col min="15368" max="15368" width="16.5546875" customWidth="1"/>
    <col min="15369" max="15369" width="14.5546875" customWidth="1"/>
    <col min="15370" max="15370" width="11.5546875" customWidth="1"/>
    <col min="15371" max="15371" width="12.88671875" customWidth="1"/>
    <col min="15372" max="15373" width="13.5546875" customWidth="1"/>
    <col min="15374" max="15374" width="13.44140625" bestFit="1" customWidth="1"/>
    <col min="15618" max="15618" width="6.109375" customWidth="1"/>
    <col min="15619" max="15619" width="28.109375" customWidth="1"/>
    <col min="15620" max="15620" width="13.88671875" customWidth="1"/>
    <col min="15621" max="15621" width="14.5546875" customWidth="1"/>
    <col min="15622" max="15622" width="15.5546875" customWidth="1"/>
    <col min="15623" max="15623" width="14.5546875" customWidth="1"/>
    <col min="15624" max="15624" width="16.5546875" customWidth="1"/>
    <col min="15625" max="15625" width="14.5546875" customWidth="1"/>
    <col min="15626" max="15626" width="11.5546875" customWidth="1"/>
    <col min="15627" max="15627" width="12.88671875" customWidth="1"/>
    <col min="15628" max="15629" width="13.5546875" customWidth="1"/>
    <col min="15630" max="15630" width="13.44140625" bestFit="1" customWidth="1"/>
    <col min="15874" max="15874" width="6.109375" customWidth="1"/>
    <col min="15875" max="15875" width="28.109375" customWidth="1"/>
    <col min="15876" max="15876" width="13.88671875" customWidth="1"/>
    <col min="15877" max="15877" width="14.5546875" customWidth="1"/>
    <col min="15878" max="15878" width="15.5546875" customWidth="1"/>
    <col min="15879" max="15879" width="14.5546875" customWidth="1"/>
    <col min="15880" max="15880" width="16.5546875" customWidth="1"/>
    <col min="15881" max="15881" width="14.5546875" customWidth="1"/>
    <col min="15882" max="15882" width="11.5546875" customWidth="1"/>
    <col min="15883" max="15883" width="12.88671875" customWidth="1"/>
    <col min="15884" max="15885" width="13.5546875" customWidth="1"/>
    <col min="15886" max="15886" width="13.44140625" bestFit="1" customWidth="1"/>
    <col min="16130" max="16130" width="6.109375" customWidth="1"/>
    <col min="16131" max="16131" width="28.109375" customWidth="1"/>
    <col min="16132" max="16132" width="13.88671875" customWidth="1"/>
    <col min="16133" max="16133" width="14.5546875" customWidth="1"/>
    <col min="16134" max="16134" width="15.5546875" customWidth="1"/>
    <col min="16135" max="16135" width="14.5546875" customWidth="1"/>
    <col min="16136" max="16136" width="16.5546875" customWidth="1"/>
    <col min="16137" max="16137" width="14.5546875" customWidth="1"/>
    <col min="16138" max="16138" width="11.5546875" customWidth="1"/>
    <col min="16139" max="16139" width="12.88671875" customWidth="1"/>
    <col min="16140" max="16141" width="13.5546875" customWidth="1"/>
    <col min="16142" max="16142" width="13.44140625" bestFit="1" customWidth="1"/>
  </cols>
  <sheetData>
    <row r="1" spans="1:15" ht="18" x14ac:dyDescent="0.35">
      <c r="B1" s="29" t="s">
        <v>727</v>
      </c>
    </row>
    <row r="2" spans="1:15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0"/>
      <c r="N2" s="30"/>
      <c r="O2" s="32"/>
    </row>
    <row r="3" spans="1:15" s="40" customFormat="1" x14ac:dyDescent="0.3">
      <c r="A3" s="33"/>
      <c r="B3" s="993" t="s">
        <v>236</v>
      </c>
      <c r="C3" s="34" t="s">
        <v>1</v>
      </c>
      <c r="D3" s="35" t="s">
        <v>2</v>
      </c>
      <c r="E3" s="36" t="s">
        <v>3</v>
      </c>
      <c r="F3" s="36" t="s">
        <v>4</v>
      </c>
      <c r="G3" s="36" t="s">
        <v>5</v>
      </c>
      <c r="H3" s="36" t="s">
        <v>6</v>
      </c>
      <c r="I3" s="37" t="s">
        <v>7</v>
      </c>
      <c r="J3" s="37" t="s">
        <v>8</v>
      </c>
      <c r="K3" s="37" t="s">
        <v>728</v>
      </c>
      <c r="L3" s="614" t="s">
        <v>729</v>
      </c>
      <c r="M3" s="38"/>
      <c r="O3" s="39"/>
    </row>
    <row r="4" spans="1:15" ht="91.35" customHeight="1" x14ac:dyDescent="0.3">
      <c r="A4" s="41"/>
      <c r="B4" s="994"/>
      <c r="C4" s="615" t="s">
        <v>190</v>
      </c>
      <c r="D4" s="596" t="s">
        <v>237</v>
      </c>
      <c r="E4" s="596" t="s">
        <v>13</v>
      </c>
      <c r="F4" s="596" t="s">
        <v>14</v>
      </c>
      <c r="G4" s="596" t="s">
        <v>15</v>
      </c>
      <c r="H4" s="596" t="s">
        <v>730</v>
      </c>
      <c r="I4" s="616" t="s">
        <v>17</v>
      </c>
      <c r="J4" s="616" t="s">
        <v>18</v>
      </c>
      <c r="K4" s="616" t="s">
        <v>731</v>
      </c>
      <c r="L4" s="617" t="s">
        <v>732</v>
      </c>
      <c r="M4" s="596" t="s">
        <v>193</v>
      </c>
      <c r="N4" s="598"/>
      <c r="O4" s="32"/>
    </row>
    <row r="5" spans="1:15" s="40" customFormat="1" x14ac:dyDescent="0.3">
      <c r="A5" s="44"/>
      <c r="B5" s="618" t="s">
        <v>733</v>
      </c>
      <c r="C5" s="619">
        <v>2700000</v>
      </c>
      <c r="D5" s="50">
        <f>E5+F5+G5+H5+I5+J5+K5</f>
        <v>324094.00000000006</v>
      </c>
      <c r="E5" s="50">
        <v>0</v>
      </c>
      <c r="F5" s="50">
        <v>7077.98</v>
      </c>
      <c r="G5" s="50">
        <v>207028.32</v>
      </c>
      <c r="H5" s="50">
        <v>11164.2</v>
      </c>
      <c r="I5" s="50">
        <v>3865.76</v>
      </c>
      <c r="J5" s="50">
        <v>1432.54</v>
      </c>
      <c r="K5" s="50">
        <v>93525.2</v>
      </c>
      <c r="L5" s="620">
        <v>0</v>
      </c>
      <c r="M5" s="92">
        <v>12</v>
      </c>
      <c r="N5" s="93"/>
      <c r="O5" s="39"/>
    </row>
    <row r="6" spans="1:15" s="40" customFormat="1" ht="35.25" customHeight="1" x14ac:dyDescent="0.3">
      <c r="A6" s="44"/>
      <c r="B6" s="618" t="s">
        <v>734</v>
      </c>
      <c r="C6" s="619" t="s">
        <v>453</v>
      </c>
      <c r="D6" s="50">
        <v>10000</v>
      </c>
      <c r="E6" s="50"/>
      <c r="F6" s="50"/>
      <c r="G6" s="50"/>
      <c r="H6" s="50"/>
      <c r="I6" s="50"/>
      <c r="J6" s="50"/>
      <c r="K6" s="50"/>
      <c r="L6" s="620">
        <v>10000</v>
      </c>
      <c r="M6" s="92"/>
      <c r="N6" s="93"/>
      <c r="O6" s="39"/>
    </row>
    <row r="7" spans="1:15" s="40" customFormat="1" ht="35.4" customHeight="1" x14ac:dyDescent="0.3">
      <c r="A7" s="44"/>
      <c r="B7" s="618" t="s">
        <v>735</v>
      </c>
      <c r="C7" s="619" t="s">
        <v>453</v>
      </c>
      <c r="D7" s="50">
        <f>E7+F7+G7+H7+I7+J7+F10+K7</f>
        <v>12328.13</v>
      </c>
      <c r="E7" s="50"/>
      <c r="F7" s="50">
        <v>2223</v>
      </c>
      <c r="G7" s="50">
        <f>9645.33</f>
        <v>9645.33</v>
      </c>
      <c r="H7" s="50">
        <v>459.8</v>
      </c>
      <c r="I7" s="50"/>
      <c r="J7" s="50"/>
      <c r="K7" s="50"/>
      <c r="L7" s="620"/>
      <c r="M7" s="92"/>
      <c r="N7" s="93"/>
      <c r="O7" s="39"/>
    </row>
    <row r="8" spans="1:15" x14ac:dyDescent="0.3">
      <c r="A8" s="51"/>
      <c r="B8" s="567"/>
      <c r="C8" s="621"/>
      <c r="D8" s="49"/>
      <c r="E8" s="50"/>
      <c r="F8" s="50"/>
      <c r="G8" s="50"/>
      <c r="H8" s="50"/>
      <c r="I8" s="50"/>
      <c r="J8" s="50"/>
      <c r="K8" s="50"/>
      <c r="L8" s="622"/>
      <c r="M8" s="19"/>
      <c r="N8" s="30"/>
      <c r="O8" s="32"/>
    </row>
    <row r="9" spans="1:15" x14ac:dyDescent="0.3">
      <c r="A9" s="51"/>
      <c r="B9" s="52"/>
      <c r="C9" s="621"/>
      <c r="D9" s="49"/>
      <c r="E9" s="50"/>
      <c r="F9" s="50"/>
      <c r="G9" s="50"/>
      <c r="H9" s="50"/>
      <c r="I9" s="50"/>
      <c r="J9" s="50"/>
      <c r="K9" s="50"/>
      <c r="L9" s="622"/>
      <c r="M9" s="19"/>
      <c r="N9" s="30"/>
      <c r="O9" s="32"/>
    </row>
    <row r="10" spans="1:15" x14ac:dyDescent="0.3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1"/>
      <c r="L10" s="31"/>
      <c r="O10" s="32"/>
    </row>
    <row r="11" spans="1:15" ht="15" thickBot="1" x14ac:dyDescent="0.35">
      <c r="A11" t="s">
        <v>36</v>
      </c>
      <c r="B11" s="56"/>
      <c r="D11" s="56"/>
      <c r="K11" s="1"/>
      <c r="L11" s="1"/>
      <c r="M11" s="1"/>
      <c r="N11" s="1"/>
      <c r="O11" s="57"/>
    </row>
    <row r="12" spans="1:15" ht="15" thickBot="1" x14ac:dyDescent="0.35">
      <c r="A12" s="872" t="s">
        <v>37</v>
      </c>
      <c r="B12" s="873"/>
      <c r="C12" s="873"/>
      <c r="D12" s="873"/>
      <c r="E12" s="873"/>
      <c r="F12" s="873"/>
      <c r="G12" s="873"/>
      <c r="H12" s="873"/>
      <c r="I12" s="874"/>
      <c r="J12" s="872" t="s">
        <v>38</v>
      </c>
      <c r="K12" s="873"/>
      <c r="L12" s="873"/>
      <c r="M12" s="873"/>
      <c r="N12" s="873"/>
      <c r="O12" s="874"/>
    </row>
    <row r="13" spans="1:15" ht="83.4" thickBot="1" x14ac:dyDescent="0.35">
      <c r="A13" s="100"/>
      <c r="B13" s="101" t="s">
        <v>40</v>
      </c>
      <c r="C13" s="899" t="s">
        <v>41</v>
      </c>
      <c r="D13" s="900"/>
      <c r="E13" s="901" t="s">
        <v>42</v>
      </c>
      <c r="F13" s="902"/>
      <c r="G13" s="899" t="s">
        <v>43</v>
      </c>
      <c r="H13" s="900"/>
      <c r="I13" s="7" t="s">
        <v>132</v>
      </c>
      <c r="J13" s="7" t="s">
        <v>736</v>
      </c>
      <c r="K13" s="8" t="s">
        <v>45</v>
      </c>
      <c r="L13" s="7" t="s">
        <v>46</v>
      </c>
      <c r="M13" s="7" t="s">
        <v>47</v>
      </c>
      <c r="N13" s="6" t="s">
        <v>390</v>
      </c>
      <c r="O13" s="6" t="s">
        <v>39</v>
      </c>
    </row>
    <row r="14" spans="1:15" x14ac:dyDescent="0.3">
      <c r="A14" s="9"/>
      <c r="B14" s="10"/>
      <c r="C14" s="11" t="s">
        <v>48</v>
      </c>
      <c r="D14" s="12" t="s">
        <v>49</v>
      </c>
      <c r="E14" s="13" t="s">
        <v>48</v>
      </c>
      <c r="F14" s="13" t="s">
        <v>49</v>
      </c>
      <c r="G14" s="12" t="s">
        <v>48</v>
      </c>
      <c r="H14" s="12" t="s">
        <v>49</v>
      </c>
      <c r="I14" s="14"/>
      <c r="J14" s="103"/>
      <c r="K14" s="12"/>
      <c r="L14" s="12"/>
      <c r="M14" s="15"/>
      <c r="N14" s="623"/>
      <c r="O14" s="16"/>
    </row>
    <row r="15" spans="1:15" x14ac:dyDescent="0.3">
      <c r="A15" s="105"/>
      <c r="B15" s="507" t="s">
        <v>733</v>
      </c>
      <c r="C15" s="70">
        <v>10000</v>
      </c>
      <c r="D15" s="70">
        <v>4200</v>
      </c>
      <c r="E15" s="16">
        <v>10000</v>
      </c>
      <c r="F15" s="70">
        <v>5000</v>
      </c>
      <c r="G15" s="16">
        <v>20000</v>
      </c>
      <c r="H15" s="70">
        <v>5000</v>
      </c>
      <c r="I15" s="16">
        <v>2000</v>
      </c>
      <c r="J15" s="16">
        <v>3000</v>
      </c>
      <c r="K15" s="16">
        <v>3000</v>
      </c>
      <c r="L15" s="16">
        <v>3000</v>
      </c>
      <c r="M15" s="16">
        <v>3000</v>
      </c>
      <c r="N15" s="16"/>
      <c r="O15" s="16">
        <v>2000</v>
      </c>
    </row>
    <row r="16" spans="1:15" ht="57.6" x14ac:dyDescent="0.3">
      <c r="B16" s="618" t="s">
        <v>734</v>
      </c>
      <c r="C16" s="135"/>
      <c r="D16" s="135"/>
      <c r="E16" s="135"/>
      <c r="F16" s="624" t="s">
        <v>737</v>
      </c>
      <c r="G16" s="135"/>
      <c r="H16" s="624" t="s">
        <v>737</v>
      </c>
      <c r="I16" s="135"/>
      <c r="J16" s="624">
        <v>3000</v>
      </c>
      <c r="K16" s="135"/>
      <c r="L16" s="135"/>
      <c r="M16" s="135"/>
      <c r="N16" s="625">
        <v>3000</v>
      </c>
      <c r="O16" s="135"/>
    </row>
    <row r="17" spans="1:15" ht="28.2" x14ac:dyDescent="0.3">
      <c r="A17" s="17"/>
      <c r="B17" s="626" t="s">
        <v>735</v>
      </c>
      <c r="C17" s="18"/>
      <c r="D17" s="18">
        <v>2000</v>
      </c>
      <c r="E17" s="18"/>
      <c r="F17" s="18">
        <v>2000</v>
      </c>
      <c r="G17" s="18"/>
      <c r="H17" s="18">
        <v>2000</v>
      </c>
      <c r="I17" s="18"/>
      <c r="J17" s="18">
        <v>2000</v>
      </c>
      <c r="K17" s="18"/>
      <c r="L17" s="18"/>
      <c r="M17" s="18"/>
      <c r="N17" s="18"/>
      <c r="O17" s="18">
        <v>2000</v>
      </c>
    </row>
  </sheetData>
  <mergeCells count="6">
    <mergeCell ref="B3:B4"/>
    <mergeCell ref="A12:I12"/>
    <mergeCell ref="J12:O12"/>
    <mergeCell ref="C13:D13"/>
    <mergeCell ref="E13:F13"/>
    <mergeCell ref="G13:H13"/>
  </mergeCells>
  <pageMargins left="0.25" right="0.22" top="0.74803149606299213" bottom="0.74803149606299213" header="0.31496062992125984" footer="0.31496062992125984"/>
  <pageSetup paperSize="9" scale="67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3C81C-C875-474C-BF59-1F77448D0675}">
  <sheetPr>
    <pageSetUpPr fitToPage="1"/>
  </sheetPr>
  <dimension ref="A1:V51"/>
  <sheetViews>
    <sheetView topLeftCell="A13" zoomScale="90" zoomScaleNormal="90" workbookViewId="0">
      <selection activeCell="H51" sqref="H51"/>
    </sheetView>
  </sheetViews>
  <sheetFormatPr defaultRowHeight="14.4" x14ac:dyDescent="0.3"/>
  <cols>
    <col min="1" max="1" width="6.109375" customWidth="1"/>
    <col min="2" max="2" width="28.109375" customWidth="1"/>
    <col min="3" max="5" width="17.5546875" customWidth="1"/>
    <col min="6" max="6" width="15.5546875" customWidth="1"/>
    <col min="7" max="7" width="14.5546875" customWidth="1"/>
    <col min="8" max="8" width="16.5546875" customWidth="1"/>
    <col min="9" max="9" width="14.5546875" customWidth="1"/>
    <col min="10" max="10" width="13.44140625" customWidth="1"/>
    <col min="11" max="11" width="13.5546875" customWidth="1"/>
    <col min="12" max="12" width="12.88671875" customWidth="1"/>
    <col min="13" max="14" width="13.5546875" customWidth="1"/>
    <col min="15" max="15" width="13.44140625" style="645" bestFit="1" customWidth="1"/>
    <col min="16" max="16" width="16.33203125" customWidth="1"/>
    <col min="17" max="17" width="13.44140625" customWidth="1"/>
    <col min="18" max="18" width="18.88671875" style="645" customWidth="1"/>
    <col min="21" max="21" width="8.88671875" style="645"/>
    <col min="29" max="29" width="9.5546875" bestFit="1" customWidth="1"/>
    <col min="259" max="259" width="6.109375" customWidth="1"/>
    <col min="260" max="260" width="28.109375" customWidth="1"/>
    <col min="261" max="261" width="13.88671875" customWidth="1"/>
    <col min="262" max="262" width="14.5546875" customWidth="1"/>
    <col min="263" max="263" width="15.5546875" customWidth="1"/>
    <col min="264" max="264" width="14.5546875" customWidth="1"/>
    <col min="265" max="265" width="16.5546875" customWidth="1"/>
    <col min="266" max="266" width="14.5546875" customWidth="1"/>
    <col min="267" max="267" width="11.5546875" customWidth="1"/>
    <col min="268" max="268" width="12.88671875" customWidth="1"/>
    <col min="269" max="270" width="13.5546875" customWidth="1"/>
    <col min="271" max="271" width="13.44140625" bestFit="1" customWidth="1"/>
    <col min="515" max="515" width="6.109375" customWidth="1"/>
    <col min="516" max="516" width="28.109375" customWidth="1"/>
    <col min="517" max="517" width="13.88671875" customWidth="1"/>
    <col min="518" max="518" width="14.5546875" customWidth="1"/>
    <col min="519" max="519" width="15.5546875" customWidth="1"/>
    <col min="520" max="520" width="14.5546875" customWidth="1"/>
    <col min="521" max="521" width="16.5546875" customWidth="1"/>
    <col min="522" max="522" width="14.5546875" customWidth="1"/>
    <col min="523" max="523" width="11.5546875" customWidth="1"/>
    <col min="524" max="524" width="12.88671875" customWidth="1"/>
    <col min="525" max="526" width="13.5546875" customWidth="1"/>
    <col min="527" max="527" width="13.44140625" bestFit="1" customWidth="1"/>
    <col min="771" max="771" width="6.109375" customWidth="1"/>
    <col min="772" max="772" width="28.109375" customWidth="1"/>
    <col min="773" max="773" width="13.88671875" customWidth="1"/>
    <col min="774" max="774" width="14.5546875" customWidth="1"/>
    <col min="775" max="775" width="15.5546875" customWidth="1"/>
    <col min="776" max="776" width="14.5546875" customWidth="1"/>
    <col min="777" max="777" width="16.5546875" customWidth="1"/>
    <col min="778" max="778" width="14.5546875" customWidth="1"/>
    <col min="779" max="779" width="11.5546875" customWidth="1"/>
    <col min="780" max="780" width="12.88671875" customWidth="1"/>
    <col min="781" max="782" width="13.5546875" customWidth="1"/>
    <col min="783" max="783" width="13.44140625" bestFit="1" customWidth="1"/>
    <col min="1027" max="1027" width="6.109375" customWidth="1"/>
    <col min="1028" max="1028" width="28.109375" customWidth="1"/>
    <col min="1029" max="1029" width="13.88671875" customWidth="1"/>
    <col min="1030" max="1030" width="14.5546875" customWidth="1"/>
    <col min="1031" max="1031" width="15.5546875" customWidth="1"/>
    <col min="1032" max="1032" width="14.5546875" customWidth="1"/>
    <col min="1033" max="1033" width="16.5546875" customWidth="1"/>
    <col min="1034" max="1034" width="14.5546875" customWidth="1"/>
    <col min="1035" max="1035" width="11.5546875" customWidth="1"/>
    <col min="1036" max="1036" width="12.88671875" customWidth="1"/>
    <col min="1037" max="1038" width="13.5546875" customWidth="1"/>
    <col min="1039" max="1039" width="13.44140625" bestFit="1" customWidth="1"/>
    <col min="1283" max="1283" width="6.109375" customWidth="1"/>
    <col min="1284" max="1284" width="28.109375" customWidth="1"/>
    <col min="1285" max="1285" width="13.88671875" customWidth="1"/>
    <col min="1286" max="1286" width="14.5546875" customWidth="1"/>
    <col min="1287" max="1287" width="15.5546875" customWidth="1"/>
    <col min="1288" max="1288" width="14.5546875" customWidth="1"/>
    <col min="1289" max="1289" width="16.5546875" customWidth="1"/>
    <col min="1290" max="1290" width="14.5546875" customWidth="1"/>
    <col min="1291" max="1291" width="11.5546875" customWidth="1"/>
    <col min="1292" max="1292" width="12.88671875" customWidth="1"/>
    <col min="1293" max="1294" width="13.5546875" customWidth="1"/>
    <col min="1295" max="1295" width="13.44140625" bestFit="1" customWidth="1"/>
    <col min="1539" max="1539" width="6.109375" customWidth="1"/>
    <col min="1540" max="1540" width="28.109375" customWidth="1"/>
    <col min="1541" max="1541" width="13.88671875" customWidth="1"/>
    <col min="1542" max="1542" width="14.5546875" customWidth="1"/>
    <col min="1543" max="1543" width="15.5546875" customWidth="1"/>
    <col min="1544" max="1544" width="14.5546875" customWidth="1"/>
    <col min="1545" max="1545" width="16.5546875" customWidth="1"/>
    <col min="1546" max="1546" width="14.5546875" customWidth="1"/>
    <col min="1547" max="1547" width="11.5546875" customWidth="1"/>
    <col min="1548" max="1548" width="12.88671875" customWidth="1"/>
    <col min="1549" max="1550" width="13.5546875" customWidth="1"/>
    <col min="1551" max="1551" width="13.44140625" bestFit="1" customWidth="1"/>
    <col min="1795" max="1795" width="6.109375" customWidth="1"/>
    <col min="1796" max="1796" width="28.109375" customWidth="1"/>
    <col min="1797" max="1797" width="13.88671875" customWidth="1"/>
    <col min="1798" max="1798" width="14.5546875" customWidth="1"/>
    <col min="1799" max="1799" width="15.5546875" customWidth="1"/>
    <col min="1800" max="1800" width="14.5546875" customWidth="1"/>
    <col min="1801" max="1801" width="16.5546875" customWidth="1"/>
    <col min="1802" max="1802" width="14.5546875" customWidth="1"/>
    <col min="1803" max="1803" width="11.5546875" customWidth="1"/>
    <col min="1804" max="1804" width="12.88671875" customWidth="1"/>
    <col min="1805" max="1806" width="13.5546875" customWidth="1"/>
    <col min="1807" max="1807" width="13.44140625" bestFit="1" customWidth="1"/>
    <col min="2051" max="2051" width="6.109375" customWidth="1"/>
    <col min="2052" max="2052" width="28.109375" customWidth="1"/>
    <col min="2053" max="2053" width="13.88671875" customWidth="1"/>
    <col min="2054" max="2054" width="14.5546875" customWidth="1"/>
    <col min="2055" max="2055" width="15.5546875" customWidth="1"/>
    <col min="2056" max="2056" width="14.5546875" customWidth="1"/>
    <col min="2057" max="2057" width="16.5546875" customWidth="1"/>
    <col min="2058" max="2058" width="14.5546875" customWidth="1"/>
    <col min="2059" max="2059" width="11.5546875" customWidth="1"/>
    <col min="2060" max="2060" width="12.88671875" customWidth="1"/>
    <col min="2061" max="2062" width="13.5546875" customWidth="1"/>
    <col min="2063" max="2063" width="13.44140625" bestFit="1" customWidth="1"/>
    <col min="2307" max="2307" width="6.109375" customWidth="1"/>
    <col min="2308" max="2308" width="28.109375" customWidth="1"/>
    <col min="2309" max="2309" width="13.88671875" customWidth="1"/>
    <col min="2310" max="2310" width="14.5546875" customWidth="1"/>
    <col min="2311" max="2311" width="15.5546875" customWidth="1"/>
    <col min="2312" max="2312" width="14.5546875" customWidth="1"/>
    <col min="2313" max="2313" width="16.5546875" customWidth="1"/>
    <col min="2314" max="2314" width="14.5546875" customWidth="1"/>
    <col min="2315" max="2315" width="11.5546875" customWidth="1"/>
    <col min="2316" max="2316" width="12.88671875" customWidth="1"/>
    <col min="2317" max="2318" width="13.5546875" customWidth="1"/>
    <col min="2319" max="2319" width="13.44140625" bestFit="1" customWidth="1"/>
    <col min="2563" max="2563" width="6.109375" customWidth="1"/>
    <col min="2564" max="2564" width="28.109375" customWidth="1"/>
    <col min="2565" max="2565" width="13.88671875" customWidth="1"/>
    <col min="2566" max="2566" width="14.5546875" customWidth="1"/>
    <col min="2567" max="2567" width="15.5546875" customWidth="1"/>
    <col min="2568" max="2568" width="14.5546875" customWidth="1"/>
    <col min="2569" max="2569" width="16.5546875" customWidth="1"/>
    <col min="2570" max="2570" width="14.5546875" customWidth="1"/>
    <col min="2571" max="2571" width="11.5546875" customWidth="1"/>
    <col min="2572" max="2572" width="12.88671875" customWidth="1"/>
    <col min="2573" max="2574" width="13.5546875" customWidth="1"/>
    <col min="2575" max="2575" width="13.44140625" bestFit="1" customWidth="1"/>
    <col min="2819" max="2819" width="6.109375" customWidth="1"/>
    <col min="2820" max="2820" width="28.109375" customWidth="1"/>
    <col min="2821" max="2821" width="13.88671875" customWidth="1"/>
    <col min="2822" max="2822" width="14.5546875" customWidth="1"/>
    <col min="2823" max="2823" width="15.5546875" customWidth="1"/>
    <col min="2824" max="2824" width="14.5546875" customWidth="1"/>
    <col min="2825" max="2825" width="16.5546875" customWidth="1"/>
    <col min="2826" max="2826" width="14.5546875" customWidth="1"/>
    <col min="2827" max="2827" width="11.5546875" customWidth="1"/>
    <col min="2828" max="2828" width="12.88671875" customWidth="1"/>
    <col min="2829" max="2830" width="13.5546875" customWidth="1"/>
    <col min="2831" max="2831" width="13.44140625" bestFit="1" customWidth="1"/>
    <col min="3075" max="3075" width="6.109375" customWidth="1"/>
    <col min="3076" max="3076" width="28.109375" customWidth="1"/>
    <col min="3077" max="3077" width="13.88671875" customWidth="1"/>
    <col min="3078" max="3078" width="14.5546875" customWidth="1"/>
    <col min="3079" max="3079" width="15.5546875" customWidth="1"/>
    <col min="3080" max="3080" width="14.5546875" customWidth="1"/>
    <col min="3081" max="3081" width="16.5546875" customWidth="1"/>
    <col min="3082" max="3082" width="14.5546875" customWidth="1"/>
    <col min="3083" max="3083" width="11.5546875" customWidth="1"/>
    <col min="3084" max="3084" width="12.88671875" customWidth="1"/>
    <col min="3085" max="3086" width="13.5546875" customWidth="1"/>
    <col min="3087" max="3087" width="13.44140625" bestFit="1" customWidth="1"/>
    <col min="3331" max="3331" width="6.109375" customWidth="1"/>
    <col min="3332" max="3332" width="28.109375" customWidth="1"/>
    <col min="3333" max="3333" width="13.88671875" customWidth="1"/>
    <col min="3334" max="3334" width="14.5546875" customWidth="1"/>
    <col min="3335" max="3335" width="15.5546875" customWidth="1"/>
    <col min="3336" max="3336" width="14.5546875" customWidth="1"/>
    <col min="3337" max="3337" width="16.5546875" customWidth="1"/>
    <col min="3338" max="3338" width="14.5546875" customWidth="1"/>
    <col min="3339" max="3339" width="11.5546875" customWidth="1"/>
    <col min="3340" max="3340" width="12.88671875" customWidth="1"/>
    <col min="3341" max="3342" width="13.5546875" customWidth="1"/>
    <col min="3343" max="3343" width="13.44140625" bestFit="1" customWidth="1"/>
    <col min="3587" max="3587" width="6.109375" customWidth="1"/>
    <col min="3588" max="3588" width="28.109375" customWidth="1"/>
    <col min="3589" max="3589" width="13.88671875" customWidth="1"/>
    <col min="3590" max="3590" width="14.5546875" customWidth="1"/>
    <col min="3591" max="3591" width="15.5546875" customWidth="1"/>
    <col min="3592" max="3592" width="14.5546875" customWidth="1"/>
    <col min="3593" max="3593" width="16.5546875" customWidth="1"/>
    <col min="3594" max="3594" width="14.5546875" customWidth="1"/>
    <col min="3595" max="3595" width="11.5546875" customWidth="1"/>
    <col min="3596" max="3596" width="12.88671875" customWidth="1"/>
    <col min="3597" max="3598" width="13.5546875" customWidth="1"/>
    <col min="3599" max="3599" width="13.44140625" bestFit="1" customWidth="1"/>
    <col min="3843" max="3843" width="6.109375" customWidth="1"/>
    <col min="3844" max="3844" width="28.109375" customWidth="1"/>
    <col min="3845" max="3845" width="13.88671875" customWidth="1"/>
    <col min="3846" max="3846" width="14.5546875" customWidth="1"/>
    <col min="3847" max="3847" width="15.5546875" customWidth="1"/>
    <col min="3848" max="3848" width="14.5546875" customWidth="1"/>
    <col min="3849" max="3849" width="16.5546875" customWidth="1"/>
    <col min="3850" max="3850" width="14.5546875" customWidth="1"/>
    <col min="3851" max="3851" width="11.5546875" customWidth="1"/>
    <col min="3852" max="3852" width="12.88671875" customWidth="1"/>
    <col min="3853" max="3854" width="13.5546875" customWidth="1"/>
    <col min="3855" max="3855" width="13.44140625" bestFit="1" customWidth="1"/>
    <col min="4099" max="4099" width="6.109375" customWidth="1"/>
    <col min="4100" max="4100" width="28.109375" customWidth="1"/>
    <col min="4101" max="4101" width="13.88671875" customWidth="1"/>
    <col min="4102" max="4102" width="14.5546875" customWidth="1"/>
    <col min="4103" max="4103" width="15.5546875" customWidth="1"/>
    <col min="4104" max="4104" width="14.5546875" customWidth="1"/>
    <col min="4105" max="4105" width="16.5546875" customWidth="1"/>
    <col min="4106" max="4106" width="14.5546875" customWidth="1"/>
    <col min="4107" max="4107" width="11.5546875" customWidth="1"/>
    <col min="4108" max="4108" width="12.88671875" customWidth="1"/>
    <col min="4109" max="4110" width="13.5546875" customWidth="1"/>
    <col min="4111" max="4111" width="13.44140625" bestFit="1" customWidth="1"/>
    <col min="4355" max="4355" width="6.109375" customWidth="1"/>
    <col min="4356" max="4356" width="28.109375" customWidth="1"/>
    <col min="4357" max="4357" width="13.88671875" customWidth="1"/>
    <col min="4358" max="4358" width="14.5546875" customWidth="1"/>
    <col min="4359" max="4359" width="15.5546875" customWidth="1"/>
    <col min="4360" max="4360" width="14.5546875" customWidth="1"/>
    <col min="4361" max="4361" width="16.5546875" customWidth="1"/>
    <col min="4362" max="4362" width="14.5546875" customWidth="1"/>
    <col min="4363" max="4363" width="11.5546875" customWidth="1"/>
    <col min="4364" max="4364" width="12.88671875" customWidth="1"/>
    <col min="4365" max="4366" width="13.5546875" customWidth="1"/>
    <col min="4367" max="4367" width="13.44140625" bestFit="1" customWidth="1"/>
    <col min="4611" max="4611" width="6.109375" customWidth="1"/>
    <col min="4612" max="4612" width="28.109375" customWidth="1"/>
    <col min="4613" max="4613" width="13.88671875" customWidth="1"/>
    <col min="4614" max="4614" width="14.5546875" customWidth="1"/>
    <col min="4615" max="4615" width="15.5546875" customWidth="1"/>
    <col min="4616" max="4616" width="14.5546875" customWidth="1"/>
    <col min="4617" max="4617" width="16.5546875" customWidth="1"/>
    <col min="4618" max="4618" width="14.5546875" customWidth="1"/>
    <col min="4619" max="4619" width="11.5546875" customWidth="1"/>
    <col min="4620" max="4620" width="12.88671875" customWidth="1"/>
    <col min="4621" max="4622" width="13.5546875" customWidth="1"/>
    <col min="4623" max="4623" width="13.44140625" bestFit="1" customWidth="1"/>
    <col min="4867" max="4867" width="6.109375" customWidth="1"/>
    <col min="4868" max="4868" width="28.109375" customWidth="1"/>
    <col min="4869" max="4869" width="13.88671875" customWidth="1"/>
    <col min="4870" max="4870" width="14.5546875" customWidth="1"/>
    <col min="4871" max="4871" width="15.5546875" customWidth="1"/>
    <col min="4872" max="4872" width="14.5546875" customWidth="1"/>
    <col min="4873" max="4873" width="16.5546875" customWidth="1"/>
    <col min="4874" max="4874" width="14.5546875" customWidth="1"/>
    <col min="4875" max="4875" width="11.5546875" customWidth="1"/>
    <col min="4876" max="4876" width="12.88671875" customWidth="1"/>
    <col min="4877" max="4878" width="13.5546875" customWidth="1"/>
    <col min="4879" max="4879" width="13.44140625" bestFit="1" customWidth="1"/>
    <col min="5123" max="5123" width="6.109375" customWidth="1"/>
    <col min="5124" max="5124" width="28.109375" customWidth="1"/>
    <col min="5125" max="5125" width="13.88671875" customWidth="1"/>
    <col min="5126" max="5126" width="14.5546875" customWidth="1"/>
    <col min="5127" max="5127" width="15.5546875" customWidth="1"/>
    <col min="5128" max="5128" width="14.5546875" customWidth="1"/>
    <col min="5129" max="5129" width="16.5546875" customWidth="1"/>
    <col min="5130" max="5130" width="14.5546875" customWidth="1"/>
    <col min="5131" max="5131" width="11.5546875" customWidth="1"/>
    <col min="5132" max="5132" width="12.88671875" customWidth="1"/>
    <col min="5133" max="5134" width="13.5546875" customWidth="1"/>
    <col min="5135" max="5135" width="13.44140625" bestFit="1" customWidth="1"/>
    <col min="5379" max="5379" width="6.109375" customWidth="1"/>
    <col min="5380" max="5380" width="28.109375" customWidth="1"/>
    <col min="5381" max="5381" width="13.88671875" customWidth="1"/>
    <col min="5382" max="5382" width="14.5546875" customWidth="1"/>
    <col min="5383" max="5383" width="15.5546875" customWidth="1"/>
    <col min="5384" max="5384" width="14.5546875" customWidth="1"/>
    <col min="5385" max="5385" width="16.5546875" customWidth="1"/>
    <col min="5386" max="5386" width="14.5546875" customWidth="1"/>
    <col min="5387" max="5387" width="11.5546875" customWidth="1"/>
    <col min="5388" max="5388" width="12.88671875" customWidth="1"/>
    <col min="5389" max="5390" width="13.5546875" customWidth="1"/>
    <col min="5391" max="5391" width="13.44140625" bestFit="1" customWidth="1"/>
    <col min="5635" max="5635" width="6.109375" customWidth="1"/>
    <col min="5636" max="5636" width="28.109375" customWidth="1"/>
    <col min="5637" max="5637" width="13.88671875" customWidth="1"/>
    <col min="5638" max="5638" width="14.5546875" customWidth="1"/>
    <col min="5639" max="5639" width="15.5546875" customWidth="1"/>
    <col min="5640" max="5640" width="14.5546875" customWidth="1"/>
    <col min="5641" max="5641" width="16.5546875" customWidth="1"/>
    <col min="5642" max="5642" width="14.5546875" customWidth="1"/>
    <col min="5643" max="5643" width="11.5546875" customWidth="1"/>
    <col min="5644" max="5644" width="12.88671875" customWidth="1"/>
    <col min="5645" max="5646" width="13.5546875" customWidth="1"/>
    <col min="5647" max="5647" width="13.44140625" bestFit="1" customWidth="1"/>
    <col min="5891" max="5891" width="6.109375" customWidth="1"/>
    <col min="5892" max="5892" width="28.109375" customWidth="1"/>
    <col min="5893" max="5893" width="13.88671875" customWidth="1"/>
    <col min="5894" max="5894" width="14.5546875" customWidth="1"/>
    <col min="5895" max="5895" width="15.5546875" customWidth="1"/>
    <col min="5896" max="5896" width="14.5546875" customWidth="1"/>
    <col min="5897" max="5897" width="16.5546875" customWidth="1"/>
    <col min="5898" max="5898" width="14.5546875" customWidth="1"/>
    <col min="5899" max="5899" width="11.5546875" customWidth="1"/>
    <col min="5900" max="5900" width="12.88671875" customWidth="1"/>
    <col min="5901" max="5902" width="13.5546875" customWidth="1"/>
    <col min="5903" max="5903" width="13.44140625" bestFit="1" customWidth="1"/>
    <col min="6147" max="6147" width="6.109375" customWidth="1"/>
    <col min="6148" max="6148" width="28.109375" customWidth="1"/>
    <col min="6149" max="6149" width="13.88671875" customWidth="1"/>
    <col min="6150" max="6150" width="14.5546875" customWidth="1"/>
    <col min="6151" max="6151" width="15.5546875" customWidth="1"/>
    <col min="6152" max="6152" width="14.5546875" customWidth="1"/>
    <col min="6153" max="6153" width="16.5546875" customWidth="1"/>
    <col min="6154" max="6154" width="14.5546875" customWidth="1"/>
    <col min="6155" max="6155" width="11.5546875" customWidth="1"/>
    <col min="6156" max="6156" width="12.88671875" customWidth="1"/>
    <col min="6157" max="6158" width="13.5546875" customWidth="1"/>
    <col min="6159" max="6159" width="13.44140625" bestFit="1" customWidth="1"/>
    <col min="6403" max="6403" width="6.109375" customWidth="1"/>
    <col min="6404" max="6404" width="28.109375" customWidth="1"/>
    <col min="6405" max="6405" width="13.88671875" customWidth="1"/>
    <col min="6406" max="6406" width="14.5546875" customWidth="1"/>
    <col min="6407" max="6407" width="15.5546875" customWidth="1"/>
    <col min="6408" max="6408" width="14.5546875" customWidth="1"/>
    <col min="6409" max="6409" width="16.5546875" customWidth="1"/>
    <col min="6410" max="6410" width="14.5546875" customWidth="1"/>
    <col min="6411" max="6411" width="11.5546875" customWidth="1"/>
    <col min="6412" max="6412" width="12.88671875" customWidth="1"/>
    <col min="6413" max="6414" width="13.5546875" customWidth="1"/>
    <col min="6415" max="6415" width="13.44140625" bestFit="1" customWidth="1"/>
    <col min="6659" max="6659" width="6.109375" customWidth="1"/>
    <col min="6660" max="6660" width="28.109375" customWidth="1"/>
    <col min="6661" max="6661" width="13.88671875" customWidth="1"/>
    <col min="6662" max="6662" width="14.5546875" customWidth="1"/>
    <col min="6663" max="6663" width="15.5546875" customWidth="1"/>
    <col min="6664" max="6664" width="14.5546875" customWidth="1"/>
    <col min="6665" max="6665" width="16.5546875" customWidth="1"/>
    <col min="6666" max="6666" width="14.5546875" customWidth="1"/>
    <col min="6667" max="6667" width="11.5546875" customWidth="1"/>
    <col min="6668" max="6668" width="12.88671875" customWidth="1"/>
    <col min="6669" max="6670" width="13.5546875" customWidth="1"/>
    <col min="6671" max="6671" width="13.44140625" bestFit="1" customWidth="1"/>
    <col min="6915" max="6915" width="6.109375" customWidth="1"/>
    <col min="6916" max="6916" width="28.109375" customWidth="1"/>
    <col min="6917" max="6917" width="13.88671875" customWidth="1"/>
    <col min="6918" max="6918" width="14.5546875" customWidth="1"/>
    <col min="6919" max="6919" width="15.5546875" customWidth="1"/>
    <col min="6920" max="6920" width="14.5546875" customWidth="1"/>
    <col min="6921" max="6921" width="16.5546875" customWidth="1"/>
    <col min="6922" max="6922" width="14.5546875" customWidth="1"/>
    <col min="6923" max="6923" width="11.5546875" customWidth="1"/>
    <col min="6924" max="6924" width="12.88671875" customWidth="1"/>
    <col min="6925" max="6926" width="13.5546875" customWidth="1"/>
    <col min="6927" max="6927" width="13.44140625" bestFit="1" customWidth="1"/>
    <col min="7171" max="7171" width="6.109375" customWidth="1"/>
    <col min="7172" max="7172" width="28.109375" customWidth="1"/>
    <col min="7173" max="7173" width="13.88671875" customWidth="1"/>
    <col min="7174" max="7174" width="14.5546875" customWidth="1"/>
    <col min="7175" max="7175" width="15.5546875" customWidth="1"/>
    <col min="7176" max="7176" width="14.5546875" customWidth="1"/>
    <col min="7177" max="7177" width="16.5546875" customWidth="1"/>
    <col min="7178" max="7178" width="14.5546875" customWidth="1"/>
    <col min="7179" max="7179" width="11.5546875" customWidth="1"/>
    <col min="7180" max="7180" width="12.88671875" customWidth="1"/>
    <col min="7181" max="7182" width="13.5546875" customWidth="1"/>
    <col min="7183" max="7183" width="13.44140625" bestFit="1" customWidth="1"/>
    <col min="7427" max="7427" width="6.109375" customWidth="1"/>
    <col min="7428" max="7428" width="28.109375" customWidth="1"/>
    <col min="7429" max="7429" width="13.88671875" customWidth="1"/>
    <col min="7430" max="7430" width="14.5546875" customWidth="1"/>
    <col min="7431" max="7431" width="15.5546875" customWidth="1"/>
    <col min="7432" max="7432" width="14.5546875" customWidth="1"/>
    <col min="7433" max="7433" width="16.5546875" customWidth="1"/>
    <col min="7434" max="7434" width="14.5546875" customWidth="1"/>
    <col min="7435" max="7435" width="11.5546875" customWidth="1"/>
    <col min="7436" max="7436" width="12.88671875" customWidth="1"/>
    <col min="7437" max="7438" width="13.5546875" customWidth="1"/>
    <col min="7439" max="7439" width="13.44140625" bestFit="1" customWidth="1"/>
    <col min="7683" max="7683" width="6.109375" customWidth="1"/>
    <col min="7684" max="7684" width="28.109375" customWidth="1"/>
    <col min="7685" max="7685" width="13.88671875" customWidth="1"/>
    <col min="7686" max="7686" width="14.5546875" customWidth="1"/>
    <col min="7687" max="7687" width="15.5546875" customWidth="1"/>
    <col min="7688" max="7688" width="14.5546875" customWidth="1"/>
    <col min="7689" max="7689" width="16.5546875" customWidth="1"/>
    <col min="7690" max="7690" width="14.5546875" customWidth="1"/>
    <col min="7691" max="7691" width="11.5546875" customWidth="1"/>
    <col min="7692" max="7692" width="12.88671875" customWidth="1"/>
    <col min="7693" max="7694" width="13.5546875" customWidth="1"/>
    <col min="7695" max="7695" width="13.44140625" bestFit="1" customWidth="1"/>
    <col min="7939" max="7939" width="6.109375" customWidth="1"/>
    <col min="7940" max="7940" width="28.109375" customWidth="1"/>
    <col min="7941" max="7941" width="13.88671875" customWidth="1"/>
    <col min="7942" max="7942" width="14.5546875" customWidth="1"/>
    <col min="7943" max="7943" width="15.5546875" customWidth="1"/>
    <col min="7944" max="7944" width="14.5546875" customWidth="1"/>
    <col min="7945" max="7945" width="16.5546875" customWidth="1"/>
    <col min="7946" max="7946" width="14.5546875" customWidth="1"/>
    <col min="7947" max="7947" width="11.5546875" customWidth="1"/>
    <col min="7948" max="7948" width="12.88671875" customWidth="1"/>
    <col min="7949" max="7950" width="13.5546875" customWidth="1"/>
    <col min="7951" max="7951" width="13.44140625" bestFit="1" customWidth="1"/>
    <col min="8195" max="8195" width="6.109375" customWidth="1"/>
    <col min="8196" max="8196" width="28.109375" customWidth="1"/>
    <col min="8197" max="8197" width="13.88671875" customWidth="1"/>
    <col min="8198" max="8198" width="14.5546875" customWidth="1"/>
    <col min="8199" max="8199" width="15.5546875" customWidth="1"/>
    <col min="8200" max="8200" width="14.5546875" customWidth="1"/>
    <col min="8201" max="8201" width="16.5546875" customWidth="1"/>
    <col min="8202" max="8202" width="14.5546875" customWidth="1"/>
    <col min="8203" max="8203" width="11.5546875" customWidth="1"/>
    <col min="8204" max="8204" width="12.88671875" customWidth="1"/>
    <col min="8205" max="8206" width="13.5546875" customWidth="1"/>
    <col min="8207" max="8207" width="13.44140625" bestFit="1" customWidth="1"/>
    <col min="8451" max="8451" width="6.109375" customWidth="1"/>
    <col min="8452" max="8452" width="28.109375" customWidth="1"/>
    <col min="8453" max="8453" width="13.88671875" customWidth="1"/>
    <col min="8454" max="8454" width="14.5546875" customWidth="1"/>
    <col min="8455" max="8455" width="15.5546875" customWidth="1"/>
    <col min="8456" max="8456" width="14.5546875" customWidth="1"/>
    <col min="8457" max="8457" width="16.5546875" customWidth="1"/>
    <col min="8458" max="8458" width="14.5546875" customWidth="1"/>
    <col min="8459" max="8459" width="11.5546875" customWidth="1"/>
    <col min="8460" max="8460" width="12.88671875" customWidth="1"/>
    <col min="8461" max="8462" width="13.5546875" customWidth="1"/>
    <col min="8463" max="8463" width="13.44140625" bestFit="1" customWidth="1"/>
    <col min="8707" max="8707" width="6.109375" customWidth="1"/>
    <col min="8708" max="8708" width="28.109375" customWidth="1"/>
    <col min="8709" max="8709" width="13.88671875" customWidth="1"/>
    <col min="8710" max="8710" width="14.5546875" customWidth="1"/>
    <col min="8711" max="8711" width="15.5546875" customWidth="1"/>
    <col min="8712" max="8712" width="14.5546875" customWidth="1"/>
    <col min="8713" max="8713" width="16.5546875" customWidth="1"/>
    <col min="8714" max="8714" width="14.5546875" customWidth="1"/>
    <col min="8715" max="8715" width="11.5546875" customWidth="1"/>
    <col min="8716" max="8716" width="12.88671875" customWidth="1"/>
    <col min="8717" max="8718" width="13.5546875" customWidth="1"/>
    <col min="8719" max="8719" width="13.44140625" bestFit="1" customWidth="1"/>
    <col min="8963" max="8963" width="6.109375" customWidth="1"/>
    <col min="8964" max="8964" width="28.109375" customWidth="1"/>
    <col min="8965" max="8965" width="13.88671875" customWidth="1"/>
    <col min="8966" max="8966" width="14.5546875" customWidth="1"/>
    <col min="8967" max="8967" width="15.5546875" customWidth="1"/>
    <col min="8968" max="8968" width="14.5546875" customWidth="1"/>
    <col min="8969" max="8969" width="16.5546875" customWidth="1"/>
    <col min="8970" max="8970" width="14.5546875" customWidth="1"/>
    <col min="8971" max="8971" width="11.5546875" customWidth="1"/>
    <col min="8972" max="8972" width="12.88671875" customWidth="1"/>
    <col min="8973" max="8974" width="13.5546875" customWidth="1"/>
    <col min="8975" max="8975" width="13.44140625" bestFit="1" customWidth="1"/>
    <col min="9219" max="9219" width="6.109375" customWidth="1"/>
    <col min="9220" max="9220" width="28.109375" customWidth="1"/>
    <col min="9221" max="9221" width="13.88671875" customWidth="1"/>
    <col min="9222" max="9222" width="14.5546875" customWidth="1"/>
    <col min="9223" max="9223" width="15.5546875" customWidth="1"/>
    <col min="9224" max="9224" width="14.5546875" customWidth="1"/>
    <col min="9225" max="9225" width="16.5546875" customWidth="1"/>
    <col min="9226" max="9226" width="14.5546875" customWidth="1"/>
    <col min="9227" max="9227" width="11.5546875" customWidth="1"/>
    <col min="9228" max="9228" width="12.88671875" customWidth="1"/>
    <col min="9229" max="9230" width="13.5546875" customWidth="1"/>
    <col min="9231" max="9231" width="13.44140625" bestFit="1" customWidth="1"/>
    <col min="9475" max="9475" width="6.109375" customWidth="1"/>
    <col min="9476" max="9476" width="28.109375" customWidth="1"/>
    <col min="9477" max="9477" width="13.88671875" customWidth="1"/>
    <col min="9478" max="9478" width="14.5546875" customWidth="1"/>
    <col min="9479" max="9479" width="15.5546875" customWidth="1"/>
    <col min="9480" max="9480" width="14.5546875" customWidth="1"/>
    <col min="9481" max="9481" width="16.5546875" customWidth="1"/>
    <col min="9482" max="9482" width="14.5546875" customWidth="1"/>
    <col min="9483" max="9483" width="11.5546875" customWidth="1"/>
    <col min="9484" max="9484" width="12.88671875" customWidth="1"/>
    <col min="9485" max="9486" width="13.5546875" customWidth="1"/>
    <col min="9487" max="9487" width="13.44140625" bestFit="1" customWidth="1"/>
    <col min="9731" max="9731" width="6.109375" customWidth="1"/>
    <col min="9732" max="9732" width="28.109375" customWidth="1"/>
    <col min="9733" max="9733" width="13.88671875" customWidth="1"/>
    <col min="9734" max="9734" width="14.5546875" customWidth="1"/>
    <col min="9735" max="9735" width="15.5546875" customWidth="1"/>
    <col min="9736" max="9736" width="14.5546875" customWidth="1"/>
    <col min="9737" max="9737" width="16.5546875" customWidth="1"/>
    <col min="9738" max="9738" width="14.5546875" customWidth="1"/>
    <col min="9739" max="9739" width="11.5546875" customWidth="1"/>
    <col min="9740" max="9740" width="12.88671875" customWidth="1"/>
    <col min="9741" max="9742" width="13.5546875" customWidth="1"/>
    <col min="9743" max="9743" width="13.44140625" bestFit="1" customWidth="1"/>
    <col min="9987" max="9987" width="6.109375" customWidth="1"/>
    <col min="9988" max="9988" width="28.109375" customWidth="1"/>
    <col min="9989" max="9989" width="13.88671875" customWidth="1"/>
    <col min="9990" max="9990" width="14.5546875" customWidth="1"/>
    <col min="9991" max="9991" width="15.5546875" customWidth="1"/>
    <col min="9992" max="9992" width="14.5546875" customWidth="1"/>
    <col min="9993" max="9993" width="16.5546875" customWidth="1"/>
    <col min="9994" max="9994" width="14.5546875" customWidth="1"/>
    <col min="9995" max="9995" width="11.5546875" customWidth="1"/>
    <col min="9996" max="9996" width="12.88671875" customWidth="1"/>
    <col min="9997" max="9998" width="13.5546875" customWidth="1"/>
    <col min="9999" max="9999" width="13.44140625" bestFit="1" customWidth="1"/>
    <col min="10243" max="10243" width="6.109375" customWidth="1"/>
    <col min="10244" max="10244" width="28.109375" customWidth="1"/>
    <col min="10245" max="10245" width="13.88671875" customWidth="1"/>
    <col min="10246" max="10246" width="14.5546875" customWidth="1"/>
    <col min="10247" max="10247" width="15.5546875" customWidth="1"/>
    <col min="10248" max="10248" width="14.5546875" customWidth="1"/>
    <col min="10249" max="10249" width="16.5546875" customWidth="1"/>
    <col min="10250" max="10250" width="14.5546875" customWidth="1"/>
    <col min="10251" max="10251" width="11.5546875" customWidth="1"/>
    <col min="10252" max="10252" width="12.88671875" customWidth="1"/>
    <col min="10253" max="10254" width="13.5546875" customWidth="1"/>
    <col min="10255" max="10255" width="13.44140625" bestFit="1" customWidth="1"/>
    <col min="10499" max="10499" width="6.109375" customWidth="1"/>
    <col min="10500" max="10500" width="28.109375" customWidth="1"/>
    <col min="10501" max="10501" width="13.88671875" customWidth="1"/>
    <col min="10502" max="10502" width="14.5546875" customWidth="1"/>
    <col min="10503" max="10503" width="15.5546875" customWidth="1"/>
    <col min="10504" max="10504" width="14.5546875" customWidth="1"/>
    <col min="10505" max="10505" width="16.5546875" customWidth="1"/>
    <col min="10506" max="10506" width="14.5546875" customWidth="1"/>
    <col min="10507" max="10507" width="11.5546875" customWidth="1"/>
    <col min="10508" max="10508" width="12.88671875" customWidth="1"/>
    <col min="10509" max="10510" width="13.5546875" customWidth="1"/>
    <col min="10511" max="10511" width="13.44140625" bestFit="1" customWidth="1"/>
    <col min="10755" max="10755" width="6.109375" customWidth="1"/>
    <col min="10756" max="10756" width="28.109375" customWidth="1"/>
    <col min="10757" max="10757" width="13.88671875" customWidth="1"/>
    <col min="10758" max="10758" width="14.5546875" customWidth="1"/>
    <col min="10759" max="10759" width="15.5546875" customWidth="1"/>
    <col min="10760" max="10760" width="14.5546875" customWidth="1"/>
    <col min="10761" max="10761" width="16.5546875" customWidth="1"/>
    <col min="10762" max="10762" width="14.5546875" customWidth="1"/>
    <col min="10763" max="10763" width="11.5546875" customWidth="1"/>
    <col min="10764" max="10764" width="12.88671875" customWidth="1"/>
    <col min="10765" max="10766" width="13.5546875" customWidth="1"/>
    <col min="10767" max="10767" width="13.44140625" bestFit="1" customWidth="1"/>
    <col min="11011" max="11011" width="6.109375" customWidth="1"/>
    <col min="11012" max="11012" width="28.109375" customWidth="1"/>
    <col min="11013" max="11013" width="13.88671875" customWidth="1"/>
    <col min="11014" max="11014" width="14.5546875" customWidth="1"/>
    <col min="11015" max="11015" width="15.5546875" customWidth="1"/>
    <col min="11016" max="11016" width="14.5546875" customWidth="1"/>
    <col min="11017" max="11017" width="16.5546875" customWidth="1"/>
    <col min="11018" max="11018" width="14.5546875" customWidth="1"/>
    <col min="11019" max="11019" width="11.5546875" customWidth="1"/>
    <col min="11020" max="11020" width="12.88671875" customWidth="1"/>
    <col min="11021" max="11022" width="13.5546875" customWidth="1"/>
    <col min="11023" max="11023" width="13.44140625" bestFit="1" customWidth="1"/>
    <col min="11267" max="11267" width="6.109375" customWidth="1"/>
    <col min="11268" max="11268" width="28.109375" customWidth="1"/>
    <col min="11269" max="11269" width="13.88671875" customWidth="1"/>
    <col min="11270" max="11270" width="14.5546875" customWidth="1"/>
    <col min="11271" max="11271" width="15.5546875" customWidth="1"/>
    <col min="11272" max="11272" width="14.5546875" customWidth="1"/>
    <col min="11273" max="11273" width="16.5546875" customWidth="1"/>
    <col min="11274" max="11274" width="14.5546875" customWidth="1"/>
    <col min="11275" max="11275" width="11.5546875" customWidth="1"/>
    <col min="11276" max="11276" width="12.88671875" customWidth="1"/>
    <col min="11277" max="11278" width="13.5546875" customWidth="1"/>
    <col min="11279" max="11279" width="13.44140625" bestFit="1" customWidth="1"/>
    <col min="11523" max="11523" width="6.109375" customWidth="1"/>
    <col min="11524" max="11524" width="28.109375" customWidth="1"/>
    <col min="11525" max="11525" width="13.88671875" customWidth="1"/>
    <col min="11526" max="11526" width="14.5546875" customWidth="1"/>
    <col min="11527" max="11527" width="15.5546875" customWidth="1"/>
    <col min="11528" max="11528" width="14.5546875" customWidth="1"/>
    <col min="11529" max="11529" width="16.5546875" customWidth="1"/>
    <col min="11530" max="11530" width="14.5546875" customWidth="1"/>
    <col min="11531" max="11531" width="11.5546875" customWidth="1"/>
    <col min="11532" max="11532" width="12.88671875" customWidth="1"/>
    <col min="11533" max="11534" width="13.5546875" customWidth="1"/>
    <col min="11535" max="11535" width="13.44140625" bestFit="1" customWidth="1"/>
    <col min="11779" max="11779" width="6.109375" customWidth="1"/>
    <col min="11780" max="11780" width="28.109375" customWidth="1"/>
    <col min="11781" max="11781" width="13.88671875" customWidth="1"/>
    <col min="11782" max="11782" width="14.5546875" customWidth="1"/>
    <col min="11783" max="11783" width="15.5546875" customWidth="1"/>
    <col min="11784" max="11784" width="14.5546875" customWidth="1"/>
    <col min="11785" max="11785" width="16.5546875" customWidth="1"/>
    <col min="11786" max="11786" width="14.5546875" customWidth="1"/>
    <col min="11787" max="11787" width="11.5546875" customWidth="1"/>
    <col min="11788" max="11788" width="12.88671875" customWidth="1"/>
    <col min="11789" max="11790" width="13.5546875" customWidth="1"/>
    <col min="11791" max="11791" width="13.44140625" bestFit="1" customWidth="1"/>
    <col min="12035" max="12035" width="6.109375" customWidth="1"/>
    <col min="12036" max="12036" width="28.109375" customWidth="1"/>
    <col min="12037" max="12037" width="13.88671875" customWidth="1"/>
    <col min="12038" max="12038" width="14.5546875" customWidth="1"/>
    <col min="12039" max="12039" width="15.5546875" customWidth="1"/>
    <col min="12040" max="12040" width="14.5546875" customWidth="1"/>
    <col min="12041" max="12041" width="16.5546875" customWidth="1"/>
    <col min="12042" max="12042" width="14.5546875" customWidth="1"/>
    <col min="12043" max="12043" width="11.5546875" customWidth="1"/>
    <col min="12044" max="12044" width="12.88671875" customWidth="1"/>
    <col min="12045" max="12046" width="13.5546875" customWidth="1"/>
    <col min="12047" max="12047" width="13.44140625" bestFit="1" customWidth="1"/>
    <col min="12291" max="12291" width="6.109375" customWidth="1"/>
    <col min="12292" max="12292" width="28.109375" customWidth="1"/>
    <col min="12293" max="12293" width="13.88671875" customWidth="1"/>
    <col min="12294" max="12294" width="14.5546875" customWidth="1"/>
    <col min="12295" max="12295" width="15.5546875" customWidth="1"/>
    <col min="12296" max="12296" width="14.5546875" customWidth="1"/>
    <col min="12297" max="12297" width="16.5546875" customWidth="1"/>
    <col min="12298" max="12298" width="14.5546875" customWidth="1"/>
    <col min="12299" max="12299" width="11.5546875" customWidth="1"/>
    <col min="12300" max="12300" width="12.88671875" customWidth="1"/>
    <col min="12301" max="12302" width="13.5546875" customWidth="1"/>
    <col min="12303" max="12303" width="13.44140625" bestFit="1" customWidth="1"/>
    <col min="12547" max="12547" width="6.109375" customWidth="1"/>
    <col min="12548" max="12548" width="28.109375" customWidth="1"/>
    <col min="12549" max="12549" width="13.88671875" customWidth="1"/>
    <col min="12550" max="12550" width="14.5546875" customWidth="1"/>
    <col min="12551" max="12551" width="15.5546875" customWidth="1"/>
    <col min="12552" max="12552" width="14.5546875" customWidth="1"/>
    <col min="12553" max="12553" width="16.5546875" customWidth="1"/>
    <col min="12554" max="12554" width="14.5546875" customWidth="1"/>
    <col min="12555" max="12555" width="11.5546875" customWidth="1"/>
    <col min="12556" max="12556" width="12.88671875" customWidth="1"/>
    <col min="12557" max="12558" width="13.5546875" customWidth="1"/>
    <col min="12559" max="12559" width="13.44140625" bestFit="1" customWidth="1"/>
    <col min="12803" max="12803" width="6.109375" customWidth="1"/>
    <col min="12804" max="12804" width="28.109375" customWidth="1"/>
    <col min="12805" max="12805" width="13.88671875" customWidth="1"/>
    <col min="12806" max="12806" width="14.5546875" customWidth="1"/>
    <col min="12807" max="12807" width="15.5546875" customWidth="1"/>
    <col min="12808" max="12808" width="14.5546875" customWidth="1"/>
    <col min="12809" max="12809" width="16.5546875" customWidth="1"/>
    <col min="12810" max="12810" width="14.5546875" customWidth="1"/>
    <col min="12811" max="12811" width="11.5546875" customWidth="1"/>
    <col min="12812" max="12812" width="12.88671875" customWidth="1"/>
    <col min="12813" max="12814" width="13.5546875" customWidth="1"/>
    <col min="12815" max="12815" width="13.44140625" bestFit="1" customWidth="1"/>
    <col min="13059" max="13059" width="6.109375" customWidth="1"/>
    <col min="13060" max="13060" width="28.109375" customWidth="1"/>
    <col min="13061" max="13061" width="13.88671875" customWidth="1"/>
    <col min="13062" max="13062" width="14.5546875" customWidth="1"/>
    <col min="13063" max="13063" width="15.5546875" customWidth="1"/>
    <col min="13064" max="13064" width="14.5546875" customWidth="1"/>
    <col min="13065" max="13065" width="16.5546875" customWidth="1"/>
    <col min="13066" max="13066" width="14.5546875" customWidth="1"/>
    <col min="13067" max="13067" width="11.5546875" customWidth="1"/>
    <col min="13068" max="13068" width="12.88671875" customWidth="1"/>
    <col min="13069" max="13070" width="13.5546875" customWidth="1"/>
    <col min="13071" max="13071" width="13.44140625" bestFit="1" customWidth="1"/>
    <col min="13315" max="13315" width="6.109375" customWidth="1"/>
    <col min="13316" max="13316" width="28.109375" customWidth="1"/>
    <col min="13317" max="13317" width="13.88671875" customWidth="1"/>
    <col min="13318" max="13318" width="14.5546875" customWidth="1"/>
    <col min="13319" max="13319" width="15.5546875" customWidth="1"/>
    <col min="13320" max="13320" width="14.5546875" customWidth="1"/>
    <col min="13321" max="13321" width="16.5546875" customWidth="1"/>
    <col min="13322" max="13322" width="14.5546875" customWidth="1"/>
    <col min="13323" max="13323" width="11.5546875" customWidth="1"/>
    <col min="13324" max="13324" width="12.88671875" customWidth="1"/>
    <col min="13325" max="13326" width="13.5546875" customWidth="1"/>
    <col min="13327" max="13327" width="13.44140625" bestFit="1" customWidth="1"/>
    <col min="13571" max="13571" width="6.109375" customWidth="1"/>
    <col min="13572" max="13572" width="28.109375" customWidth="1"/>
    <col min="13573" max="13573" width="13.88671875" customWidth="1"/>
    <col min="13574" max="13574" width="14.5546875" customWidth="1"/>
    <col min="13575" max="13575" width="15.5546875" customWidth="1"/>
    <col min="13576" max="13576" width="14.5546875" customWidth="1"/>
    <col min="13577" max="13577" width="16.5546875" customWidth="1"/>
    <col min="13578" max="13578" width="14.5546875" customWidth="1"/>
    <col min="13579" max="13579" width="11.5546875" customWidth="1"/>
    <col min="13580" max="13580" width="12.88671875" customWidth="1"/>
    <col min="13581" max="13582" width="13.5546875" customWidth="1"/>
    <col min="13583" max="13583" width="13.44140625" bestFit="1" customWidth="1"/>
    <col min="13827" max="13827" width="6.109375" customWidth="1"/>
    <col min="13828" max="13828" width="28.109375" customWidth="1"/>
    <col min="13829" max="13829" width="13.88671875" customWidth="1"/>
    <col min="13830" max="13830" width="14.5546875" customWidth="1"/>
    <col min="13831" max="13831" width="15.5546875" customWidth="1"/>
    <col min="13832" max="13832" width="14.5546875" customWidth="1"/>
    <col min="13833" max="13833" width="16.5546875" customWidth="1"/>
    <col min="13834" max="13834" width="14.5546875" customWidth="1"/>
    <col min="13835" max="13835" width="11.5546875" customWidth="1"/>
    <col min="13836" max="13836" width="12.88671875" customWidth="1"/>
    <col min="13837" max="13838" width="13.5546875" customWidth="1"/>
    <col min="13839" max="13839" width="13.44140625" bestFit="1" customWidth="1"/>
    <col min="14083" max="14083" width="6.109375" customWidth="1"/>
    <col min="14084" max="14084" width="28.109375" customWidth="1"/>
    <col min="14085" max="14085" width="13.88671875" customWidth="1"/>
    <col min="14086" max="14086" width="14.5546875" customWidth="1"/>
    <col min="14087" max="14087" width="15.5546875" customWidth="1"/>
    <col min="14088" max="14088" width="14.5546875" customWidth="1"/>
    <col min="14089" max="14089" width="16.5546875" customWidth="1"/>
    <col min="14090" max="14090" width="14.5546875" customWidth="1"/>
    <col min="14091" max="14091" width="11.5546875" customWidth="1"/>
    <col min="14092" max="14092" width="12.88671875" customWidth="1"/>
    <col min="14093" max="14094" width="13.5546875" customWidth="1"/>
    <col min="14095" max="14095" width="13.44140625" bestFit="1" customWidth="1"/>
    <col min="14339" max="14339" width="6.109375" customWidth="1"/>
    <col min="14340" max="14340" width="28.109375" customWidth="1"/>
    <col min="14341" max="14341" width="13.88671875" customWidth="1"/>
    <col min="14342" max="14342" width="14.5546875" customWidth="1"/>
    <col min="14343" max="14343" width="15.5546875" customWidth="1"/>
    <col min="14344" max="14344" width="14.5546875" customWidth="1"/>
    <col min="14345" max="14345" width="16.5546875" customWidth="1"/>
    <col min="14346" max="14346" width="14.5546875" customWidth="1"/>
    <col min="14347" max="14347" width="11.5546875" customWidth="1"/>
    <col min="14348" max="14348" width="12.88671875" customWidth="1"/>
    <col min="14349" max="14350" width="13.5546875" customWidth="1"/>
    <col min="14351" max="14351" width="13.44140625" bestFit="1" customWidth="1"/>
    <col min="14595" max="14595" width="6.109375" customWidth="1"/>
    <col min="14596" max="14596" width="28.109375" customWidth="1"/>
    <col min="14597" max="14597" width="13.88671875" customWidth="1"/>
    <col min="14598" max="14598" width="14.5546875" customWidth="1"/>
    <col min="14599" max="14599" width="15.5546875" customWidth="1"/>
    <col min="14600" max="14600" width="14.5546875" customWidth="1"/>
    <col min="14601" max="14601" width="16.5546875" customWidth="1"/>
    <col min="14602" max="14602" width="14.5546875" customWidth="1"/>
    <col min="14603" max="14603" width="11.5546875" customWidth="1"/>
    <col min="14604" max="14604" width="12.88671875" customWidth="1"/>
    <col min="14605" max="14606" width="13.5546875" customWidth="1"/>
    <col min="14607" max="14607" width="13.44140625" bestFit="1" customWidth="1"/>
    <col min="14851" max="14851" width="6.109375" customWidth="1"/>
    <col min="14852" max="14852" width="28.109375" customWidth="1"/>
    <col min="14853" max="14853" width="13.88671875" customWidth="1"/>
    <col min="14854" max="14854" width="14.5546875" customWidth="1"/>
    <col min="14855" max="14855" width="15.5546875" customWidth="1"/>
    <col min="14856" max="14856" width="14.5546875" customWidth="1"/>
    <col min="14857" max="14857" width="16.5546875" customWidth="1"/>
    <col min="14858" max="14858" width="14.5546875" customWidth="1"/>
    <col min="14859" max="14859" width="11.5546875" customWidth="1"/>
    <col min="14860" max="14860" width="12.88671875" customWidth="1"/>
    <col min="14861" max="14862" width="13.5546875" customWidth="1"/>
    <col min="14863" max="14863" width="13.44140625" bestFit="1" customWidth="1"/>
    <col min="15107" max="15107" width="6.109375" customWidth="1"/>
    <col min="15108" max="15108" width="28.109375" customWidth="1"/>
    <col min="15109" max="15109" width="13.88671875" customWidth="1"/>
    <col min="15110" max="15110" width="14.5546875" customWidth="1"/>
    <col min="15111" max="15111" width="15.5546875" customWidth="1"/>
    <col min="15112" max="15112" width="14.5546875" customWidth="1"/>
    <col min="15113" max="15113" width="16.5546875" customWidth="1"/>
    <col min="15114" max="15114" width="14.5546875" customWidth="1"/>
    <col min="15115" max="15115" width="11.5546875" customWidth="1"/>
    <col min="15116" max="15116" width="12.88671875" customWidth="1"/>
    <col min="15117" max="15118" width="13.5546875" customWidth="1"/>
    <col min="15119" max="15119" width="13.44140625" bestFit="1" customWidth="1"/>
    <col min="15363" max="15363" width="6.109375" customWidth="1"/>
    <col min="15364" max="15364" width="28.109375" customWidth="1"/>
    <col min="15365" max="15365" width="13.88671875" customWidth="1"/>
    <col min="15366" max="15366" width="14.5546875" customWidth="1"/>
    <col min="15367" max="15367" width="15.5546875" customWidth="1"/>
    <col min="15368" max="15368" width="14.5546875" customWidth="1"/>
    <col min="15369" max="15369" width="16.5546875" customWidth="1"/>
    <col min="15370" max="15370" width="14.5546875" customWidth="1"/>
    <col min="15371" max="15371" width="11.5546875" customWidth="1"/>
    <col min="15372" max="15372" width="12.88671875" customWidth="1"/>
    <col min="15373" max="15374" width="13.5546875" customWidth="1"/>
    <col min="15375" max="15375" width="13.44140625" bestFit="1" customWidth="1"/>
    <col min="15619" max="15619" width="6.109375" customWidth="1"/>
    <col min="15620" max="15620" width="28.109375" customWidth="1"/>
    <col min="15621" max="15621" width="13.88671875" customWidth="1"/>
    <col min="15622" max="15622" width="14.5546875" customWidth="1"/>
    <col min="15623" max="15623" width="15.5546875" customWidth="1"/>
    <col min="15624" max="15624" width="14.5546875" customWidth="1"/>
    <col min="15625" max="15625" width="16.5546875" customWidth="1"/>
    <col min="15626" max="15626" width="14.5546875" customWidth="1"/>
    <col min="15627" max="15627" width="11.5546875" customWidth="1"/>
    <col min="15628" max="15628" width="12.88671875" customWidth="1"/>
    <col min="15629" max="15630" width="13.5546875" customWidth="1"/>
    <col min="15631" max="15631" width="13.44140625" bestFit="1" customWidth="1"/>
    <col min="15875" max="15875" width="6.109375" customWidth="1"/>
    <col min="15876" max="15876" width="28.109375" customWidth="1"/>
    <col min="15877" max="15877" width="13.88671875" customWidth="1"/>
    <col min="15878" max="15878" width="14.5546875" customWidth="1"/>
    <col min="15879" max="15879" width="15.5546875" customWidth="1"/>
    <col min="15880" max="15880" width="14.5546875" customWidth="1"/>
    <col min="15881" max="15881" width="16.5546875" customWidth="1"/>
    <col min="15882" max="15882" width="14.5546875" customWidth="1"/>
    <col min="15883" max="15883" width="11.5546875" customWidth="1"/>
    <col min="15884" max="15884" width="12.88671875" customWidth="1"/>
    <col min="15885" max="15886" width="13.5546875" customWidth="1"/>
    <col min="15887" max="15887" width="13.44140625" bestFit="1" customWidth="1"/>
    <col min="16131" max="16131" width="6.109375" customWidth="1"/>
    <col min="16132" max="16132" width="28.109375" customWidth="1"/>
    <col min="16133" max="16133" width="13.88671875" customWidth="1"/>
    <col min="16134" max="16134" width="14.5546875" customWidth="1"/>
    <col min="16135" max="16135" width="15.5546875" customWidth="1"/>
    <col min="16136" max="16136" width="14.5546875" customWidth="1"/>
    <col min="16137" max="16137" width="16.5546875" customWidth="1"/>
    <col min="16138" max="16138" width="14.5546875" customWidth="1"/>
    <col min="16139" max="16139" width="11.5546875" customWidth="1"/>
    <col min="16140" max="16140" width="12.88671875" customWidth="1"/>
    <col min="16141" max="16142" width="13.5546875" customWidth="1"/>
    <col min="16143" max="16143" width="13.44140625" bestFit="1" customWidth="1"/>
  </cols>
  <sheetData>
    <row r="1" spans="1:21" ht="18" x14ac:dyDescent="0.35">
      <c r="B1" s="29" t="s">
        <v>794</v>
      </c>
      <c r="F1" s="26"/>
    </row>
    <row r="2" spans="1:2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  <c r="N2" s="31"/>
      <c r="O2" s="646"/>
      <c r="P2" s="32"/>
    </row>
    <row r="3" spans="1:21" s="40" customFormat="1" x14ac:dyDescent="0.3">
      <c r="A3" s="33"/>
      <c r="B3" s="908" t="s">
        <v>795</v>
      </c>
      <c r="C3" s="34" t="s">
        <v>1</v>
      </c>
      <c r="D3" s="34" t="s">
        <v>796</v>
      </c>
      <c r="E3" s="36" t="s">
        <v>3</v>
      </c>
      <c r="F3" s="36" t="s">
        <v>4</v>
      </c>
      <c r="G3" s="36" t="s">
        <v>5</v>
      </c>
      <c r="H3" s="36" t="s">
        <v>6</v>
      </c>
      <c r="I3" s="37" t="s">
        <v>7</v>
      </c>
      <c r="J3" s="37" t="s">
        <v>8</v>
      </c>
      <c r="K3" s="37" t="s">
        <v>9</v>
      </c>
      <c r="L3" s="37" t="s">
        <v>10</v>
      </c>
      <c r="M3" s="38"/>
      <c r="O3" s="647"/>
      <c r="R3" s="648"/>
      <c r="U3" s="648"/>
    </row>
    <row r="4" spans="1:21" ht="91.35" customHeight="1" x14ac:dyDescent="0.3">
      <c r="A4" s="41" t="s">
        <v>189</v>
      </c>
      <c r="B4" s="909"/>
      <c r="C4" s="42" t="s">
        <v>190</v>
      </c>
      <c r="D4" s="36" t="s">
        <v>12</v>
      </c>
      <c r="E4" s="36" t="s">
        <v>13</v>
      </c>
      <c r="F4" s="36" t="s">
        <v>14</v>
      </c>
      <c r="G4" s="36" t="s">
        <v>15</v>
      </c>
      <c r="H4" s="36" t="s">
        <v>191</v>
      </c>
      <c r="I4" s="43" t="s">
        <v>17</v>
      </c>
      <c r="J4" s="43" t="s">
        <v>18</v>
      </c>
      <c r="K4" s="43" t="s">
        <v>19</v>
      </c>
      <c r="L4" s="43" t="s">
        <v>797</v>
      </c>
      <c r="M4" s="36" t="s">
        <v>193</v>
      </c>
      <c r="O4" s="649"/>
    </row>
    <row r="5" spans="1:21" s="40" customFormat="1" ht="28.2" x14ac:dyDescent="0.3">
      <c r="A5" s="44">
        <v>1</v>
      </c>
      <c r="B5" s="650" t="s">
        <v>798</v>
      </c>
      <c r="C5" s="46">
        <v>1600000</v>
      </c>
      <c r="D5" s="90">
        <f>E5+F5+G5+H5+I5+J5+K5</f>
        <v>369833.47</v>
      </c>
      <c r="E5" s="90">
        <v>15800</v>
      </c>
      <c r="F5" s="90">
        <v>203594.65</v>
      </c>
      <c r="G5" s="90">
        <v>22628.49</v>
      </c>
      <c r="H5" s="90"/>
      <c r="I5" s="90">
        <v>53194.52</v>
      </c>
      <c r="J5" s="90"/>
      <c r="K5" s="90">
        <v>74615.81</v>
      </c>
      <c r="L5" s="124" t="s">
        <v>217</v>
      </c>
      <c r="M5" s="92">
        <v>35</v>
      </c>
      <c r="O5" s="647"/>
      <c r="R5" s="648"/>
      <c r="U5" s="648"/>
    </row>
    <row r="6" spans="1:21" ht="42" x14ac:dyDescent="0.3">
      <c r="A6" s="51">
        <v>2</v>
      </c>
      <c r="B6" s="52" t="s">
        <v>799</v>
      </c>
      <c r="C6" s="53">
        <v>45000</v>
      </c>
      <c r="D6" s="90">
        <f>E6+F6+G6+H6+I6+J6+K6+L6</f>
        <v>23461.86</v>
      </c>
      <c r="E6" s="50">
        <v>0</v>
      </c>
      <c r="F6" s="50">
        <v>2597.23</v>
      </c>
      <c r="G6" s="50">
        <v>0</v>
      </c>
      <c r="H6" s="50"/>
      <c r="I6" s="50">
        <v>0</v>
      </c>
      <c r="J6" s="50"/>
      <c r="K6" s="50"/>
      <c r="L6" s="50">
        <v>20864.63</v>
      </c>
      <c r="M6" s="19"/>
      <c r="O6" s="649"/>
    </row>
    <row r="7" spans="1:21" ht="28.2" x14ac:dyDescent="0.3">
      <c r="A7" s="51">
        <v>3</v>
      </c>
      <c r="B7" s="52" t="s">
        <v>800</v>
      </c>
      <c r="C7" s="651">
        <v>4000000</v>
      </c>
      <c r="D7" s="90">
        <f>E7+F7+G7+H7+I7+J7+K7+L7</f>
        <v>1297505.03</v>
      </c>
      <c r="E7" s="50">
        <v>31496.43</v>
      </c>
      <c r="F7" s="50">
        <v>96336.639999999999</v>
      </c>
      <c r="G7" s="50">
        <v>163574.38</v>
      </c>
      <c r="H7" s="50"/>
      <c r="I7" s="50">
        <v>6097.58</v>
      </c>
      <c r="J7" s="50"/>
      <c r="K7" s="50"/>
      <c r="L7" s="667">
        <v>1000000</v>
      </c>
      <c r="M7" s="19"/>
      <c r="O7" s="649"/>
      <c r="P7" s="26"/>
    </row>
    <row r="8" spans="1:21" ht="42" x14ac:dyDescent="0.3">
      <c r="A8" s="51">
        <v>4</v>
      </c>
      <c r="B8" s="52" t="s">
        <v>801</v>
      </c>
      <c r="C8" s="651">
        <v>40000</v>
      </c>
      <c r="D8" s="90">
        <f>E8+F8+G8+H8+I8+J8+K8+L8</f>
        <v>0</v>
      </c>
      <c r="E8" s="50"/>
      <c r="F8" s="50"/>
      <c r="G8" s="50"/>
      <c r="H8" s="50"/>
      <c r="I8" s="50"/>
      <c r="J8" s="50"/>
      <c r="K8" s="50"/>
      <c r="L8" s="50"/>
      <c r="M8" s="19"/>
      <c r="O8" s="649"/>
    </row>
    <row r="9" spans="1:21" ht="28.2" x14ac:dyDescent="0.3">
      <c r="A9" s="51">
        <v>5</v>
      </c>
      <c r="B9" s="52" t="s">
        <v>802</v>
      </c>
      <c r="C9" s="651">
        <v>616000</v>
      </c>
      <c r="D9" s="90">
        <v>100889.5</v>
      </c>
      <c r="E9" s="50">
        <v>0</v>
      </c>
      <c r="F9" s="50">
        <v>16204.34</v>
      </c>
      <c r="G9" s="50">
        <v>824.03</v>
      </c>
      <c r="H9" s="50"/>
      <c r="I9" s="50">
        <v>402.61</v>
      </c>
      <c r="J9" s="50"/>
      <c r="K9" s="50"/>
      <c r="L9" s="652" t="s">
        <v>803</v>
      </c>
      <c r="M9" s="19"/>
      <c r="O9" s="649"/>
    </row>
    <row r="10" spans="1:21" ht="42" x14ac:dyDescent="0.3">
      <c r="A10" s="51">
        <v>6</v>
      </c>
      <c r="B10" s="52" t="s">
        <v>804</v>
      </c>
      <c r="C10" s="651">
        <v>306000</v>
      </c>
      <c r="D10" s="90">
        <f>E10+F10+G10+H10+I10</f>
        <v>81249.070000000007</v>
      </c>
      <c r="E10" s="50">
        <v>0</v>
      </c>
      <c r="F10" s="50">
        <v>10059.219999999999</v>
      </c>
      <c r="G10" s="50">
        <v>65841.919999999998</v>
      </c>
      <c r="H10" s="50"/>
      <c r="I10" s="50">
        <v>5347.93</v>
      </c>
      <c r="J10" s="50"/>
      <c r="K10" s="50"/>
      <c r="L10" s="652" t="s">
        <v>217</v>
      </c>
      <c r="M10" s="19"/>
      <c r="O10" s="649"/>
    </row>
    <row r="11" spans="1:21" ht="28.2" x14ac:dyDescent="0.3">
      <c r="A11" s="51">
        <v>7</v>
      </c>
      <c r="B11" s="52" t="s">
        <v>805</v>
      </c>
      <c r="C11" s="651">
        <v>3500000</v>
      </c>
      <c r="D11" s="90">
        <f>E11+F11+G11+H11+I11+J11+K11+L11</f>
        <v>539802.71</v>
      </c>
      <c r="E11" s="50">
        <v>0</v>
      </c>
      <c r="F11" s="50">
        <v>7999.82</v>
      </c>
      <c r="G11" s="50">
        <v>18266.73</v>
      </c>
      <c r="H11" s="50"/>
      <c r="I11" s="50">
        <v>4889.8599999999997</v>
      </c>
      <c r="J11" s="50"/>
      <c r="K11" s="50"/>
      <c r="L11" s="50">
        <v>508646.3</v>
      </c>
      <c r="M11" s="19"/>
      <c r="O11" s="649"/>
    </row>
    <row r="12" spans="1:21" ht="42" x14ac:dyDescent="0.3">
      <c r="A12" s="51">
        <v>8</v>
      </c>
      <c r="B12" s="52" t="s">
        <v>806</v>
      </c>
      <c r="C12" s="651">
        <v>1440000</v>
      </c>
      <c r="D12" s="50">
        <v>248699.74</v>
      </c>
      <c r="E12" s="50">
        <v>0</v>
      </c>
      <c r="F12" s="50">
        <v>114983.71</v>
      </c>
      <c r="G12" s="50">
        <v>45167.88</v>
      </c>
      <c r="H12" s="50"/>
      <c r="I12" s="50">
        <v>5089.63</v>
      </c>
      <c r="J12" s="50"/>
      <c r="K12" s="50"/>
      <c r="L12" s="653" t="s">
        <v>807</v>
      </c>
      <c r="M12" s="19"/>
      <c r="N12" s="26"/>
      <c r="O12" s="649"/>
    </row>
    <row r="13" spans="1:21" ht="42" x14ac:dyDescent="0.3">
      <c r="A13" s="51">
        <v>9</v>
      </c>
      <c r="B13" s="52" t="s">
        <v>808</v>
      </c>
      <c r="C13" s="651">
        <v>360000</v>
      </c>
      <c r="D13" s="90">
        <f>E13+F13+G13+H13+I13+J13+K13+L13</f>
        <v>75940.039999999994</v>
      </c>
      <c r="E13" s="50">
        <v>0</v>
      </c>
      <c r="F13" s="50">
        <v>0</v>
      </c>
      <c r="G13" s="50">
        <v>827.37</v>
      </c>
      <c r="H13" s="50"/>
      <c r="I13" s="50">
        <v>0</v>
      </c>
      <c r="J13" s="50"/>
      <c r="K13" s="50"/>
      <c r="L13" s="50">
        <v>75112.67</v>
      </c>
      <c r="M13" s="19"/>
      <c r="O13" s="649"/>
    </row>
    <row r="14" spans="1:21" ht="42" x14ac:dyDescent="0.3">
      <c r="A14" s="51">
        <v>10</v>
      </c>
      <c r="B14" s="52" t="s">
        <v>809</v>
      </c>
      <c r="C14" s="53">
        <v>20000</v>
      </c>
      <c r="D14" s="90">
        <f>E14+F14+G14+H14+I14+J14+K14+L14</f>
        <v>4000</v>
      </c>
      <c r="E14" s="50">
        <v>0</v>
      </c>
      <c r="F14" s="50">
        <v>0</v>
      </c>
      <c r="G14" s="50">
        <v>0</v>
      </c>
      <c r="H14" s="50"/>
      <c r="I14" s="50">
        <v>0</v>
      </c>
      <c r="J14" s="50"/>
      <c r="K14" s="50"/>
      <c r="L14" s="50">
        <v>4000</v>
      </c>
      <c r="M14" s="19"/>
      <c r="O14" s="649"/>
    </row>
    <row r="15" spans="1:21" ht="28.2" x14ac:dyDescent="0.3">
      <c r="A15" s="51">
        <v>11</v>
      </c>
      <c r="B15" s="52" t="s">
        <v>810</v>
      </c>
      <c r="C15" s="53">
        <v>0</v>
      </c>
      <c r="D15" s="653" t="s">
        <v>811</v>
      </c>
      <c r="E15" s="50">
        <v>0</v>
      </c>
      <c r="F15" s="50">
        <v>0</v>
      </c>
      <c r="G15" s="50">
        <v>0</v>
      </c>
      <c r="H15" s="50"/>
      <c r="I15" s="50">
        <v>0</v>
      </c>
      <c r="J15" s="50"/>
      <c r="K15" s="50"/>
      <c r="L15" s="653" t="s">
        <v>811</v>
      </c>
      <c r="M15" s="19"/>
      <c r="O15" s="649"/>
    </row>
    <row r="16" spans="1:21" ht="28.2" x14ac:dyDescent="0.3">
      <c r="A16" s="51">
        <v>12</v>
      </c>
      <c r="B16" s="52" t="s">
        <v>812</v>
      </c>
      <c r="C16" s="53">
        <v>0</v>
      </c>
      <c r="D16" s="90">
        <f t="shared" ref="D16:D20" si="0">E16+F16+G16+H16+I16+J16+K16+L16</f>
        <v>16500</v>
      </c>
      <c r="E16" s="50">
        <v>0</v>
      </c>
      <c r="F16" s="50">
        <v>0</v>
      </c>
      <c r="G16" s="50">
        <v>0</v>
      </c>
      <c r="H16" s="50"/>
      <c r="I16" s="50">
        <v>0</v>
      </c>
      <c r="J16" s="50"/>
      <c r="K16" s="50"/>
      <c r="L16" s="50">
        <v>16500</v>
      </c>
      <c r="M16" s="19"/>
      <c r="O16" s="649"/>
    </row>
    <row r="17" spans="1:22" ht="42" x14ac:dyDescent="0.3">
      <c r="A17" s="51">
        <v>13</v>
      </c>
      <c r="B17" s="52" t="s">
        <v>813</v>
      </c>
      <c r="C17" s="53">
        <v>0</v>
      </c>
      <c r="D17" s="90">
        <f t="shared" si="0"/>
        <v>12921.380000000001</v>
      </c>
      <c r="E17" s="50">
        <v>0</v>
      </c>
      <c r="F17" s="50">
        <v>0</v>
      </c>
      <c r="G17" s="50">
        <v>0</v>
      </c>
      <c r="H17" s="50"/>
      <c r="I17" s="50">
        <v>402.6</v>
      </c>
      <c r="J17" s="50"/>
      <c r="K17" s="50"/>
      <c r="L17" s="50">
        <v>12518.78</v>
      </c>
      <c r="M17" s="19"/>
      <c r="O17" s="649"/>
    </row>
    <row r="18" spans="1:22" ht="42" x14ac:dyDescent="0.3">
      <c r="A18" s="51">
        <v>14</v>
      </c>
      <c r="B18" s="52" t="s">
        <v>814</v>
      </c>
      <c r="C18" s="53">
        <v>0</v>
      </c>
      <c r="D18" s="90">
        <f t="shared" si="0"/>
        <v>15000</v>
      </c>
      <c r="E18" s="50">
        <v>0</v>
      </c>
      <c r="F18" s="50">
        <v>0</v>
      </c>
      <c r="G18" s="50">
        <v>0</v>
      </c>
      <c r="H18" s="50"/>
      <c r="I18" s="50">
        <v>0</v>
      </c>
      <c r="J18" s="50"/>
      <c r="K18" s="50"/>
      <c r="L18" s="50">
        <v>15000</v>
      </c>
      <c r="M18" s="19"/>
      <c r="O18" s="649"/>
    </row>
    <row r="19" spans="1:22" ht="42" x14ac:dyDescent="0.3">
      <c r="A19" s="51">
        <v>15</v>
      </c>
      <c r="B19" s="52" t="s">
        <v>815</v>
      </c>
      <c r="C19" s="53">
        <v>0</v>
      </c>
      <c r="D19" s="90">
        <f t="shared" si="0"/>
        <v>21655.56</v>
      </c>
      <c r="E19" s="50">
        <v>0</v>
      </c>
      <c r="F19" s="50">
        <v>365.73</v>
      </c>
      <c r="G19" s="50">
        <v>1083.68</v>
      </c>
      <c r="H19" s="50"/>
      <c r="I19" s="50">
        <v>2206.15</v>
      </c>
      <c r="J19" s="50"/>
      <c r="K19" s="50"/>
      <c r="L19" s="50">
        <v>18000</v>
      </c>
      <c r="M19" s="19"/>
      <c r="O19" s="649"/>
    </row>
    <row r="20" spans="1:22" ht="28.2" x14ac:dyDescent="0.3">
      <c r="A20" s="51">
        <v>16</v>
      </c>
      <c r="B20" s="52" t="s">
        <v>816</v>
      </c>
      <c r="C20" s="53">
        <v>0</v>
      </c>
      <c r="D20" s="90">
        <f t="shared" si="0"/>
        <v>31451.86</v>
      </c>
      <c r="E20" s="50">
        <v>0</v>
      </c>
      <c r="F20" s="50">
        <v>5555.12</v>
      </c>
      <c r="G20" s="50">
        <v>896.74</v>
      </c>
      <c r="H20" s="50"/>
      <c r="I20" s="50">
        <v>0</v>
      </c>
      <c r="J20" s="50"/>
      <c r="K20" s="50"/>
      <c r="L20" s="50">
        <v>25000</v>
      </c>
      <c r="M20" s="19"/>
      <c r="O20" s="649"/>
    </row>
    <row r="21" spans="1:22" ht="42" x14ac:dyDescent="0.3">
      <c r="A21" s="51">
        <v>17</v>
      </c>
      <c r="B21" s="52" t="s">
        <v>817</v>
      </c>
      <c r="C21" s="668">
        <v>120000</v>
      </c>
      <c r="D21" s="90">
        <v>10000</v>
      </c>
      <c r="E21" s="50"/>
      <c r="F21" s="50">
        <v>0</v>
      </c>
      <c r="G21" s="50">
        <v>0</v>
      </c>
      <c r="H21" s="50"/>
      <c r="I21" s="50">
        <v>0</v>
      </c>
      <c r="J21" s="50"/>
      <c r="K21" s="50"/>
      <c r="L21" s="50">
        <v>0</v>
      </c>
      <c r="M21" s="19"/>
      <c r="O21" s="649"/>
    </row>
    <row r="22" spans="1:22" ht="42" x14ac:dyDescent="0.3">
      <c r="A22" s="19">
        <v>18</v>
      </c>
      <c r="B22" s="20" t="s">
        <v>818</v>
      </c>
      <c r="C22" s="651">
        <v>78000</v>
      </c>
      <c r="D22" s="90">
        <f>E22+F22+G22+H22+I22+J22+K22+L22</f>
        <v>16000</v>
      </c>
      <c r="E22" s="654">
        <v>0</v>
      </c>
      <c r="F22" s="654">
        <v>0</v>
      </c>
      <c r="G22" s="654">
        <v>0</v>
      </c>
      <c r="H22" s="19"/>
      <c r="I22" s="654">
        <v>0</v>
      </c>
      <c r="J22" s="19"/>
      <c r="K22" s="54"/>
      <c r="L22" s="49">
        <v>16000</v>
      </c>
      <c r="M22" s="17"/>
      <c r="O22" s="649"/>
    </row>
    <row r="23" spans="1:22" x14ac:dyDescent="0.3">
      <c r="A23" s="655"/>
      <c r="B23" s="30"/>
      <c r="C23" s="55">
        <f t="shared" ref="C23:E23" si="1">SUM(C5:C22)</f>
        <v>12125000</v>
      </c>
      <c r="D23" s="55">
        <f>D5+D6+D7+D8+D9+D10+D11+D12+D13+D14+D16+D17+D18+D19+D20+D21+D22</f>
        <v>2864910.2199999997</v>
      </c>
      <c r="E23" s="55">
        <f t="shared" si="1"/>
        <v>47296.43</v>
      </c>
      <c r="F23" s="55">
        <f>SUM(F5:F22)</f>
        <v>457696.46</v>
      </c>
      <c r="G23" s="55">
        <f>SUM(G5:G22)</f>
        <v>319111.21999999997</v>
      </c>
      <c r="H23" s="30"/>
      <c r="I23" s="55">
        <f>SUM(I5:I22)</f>
        <v>77630.880000000005</v>
      </c>
      <c r="J23" s="30"/>
      <c r="K23" s="31">
        <f>SUM(K5:K22)</f>
        <v>74615.81</v>
      </c>
      <c r="L23" s="31"/>
      <c r="O23" s="649"/>
    </row>
    <row r="24" spans="1:22" x14ac:dyDescent="0.3">
      <c r="A24" s="655"/>
      <c r="B24" s="30"/>
      <c r="C24" s="30"/>
      <c r="D24" s="30"/>
      <c r="E24" s="30"/>
      <c r="F24" s="30"/>
      <c r="G24" s="30"/>
      <c r="H24" s="55"/>
      <c r="I24" s="55"/>
      <c r="J24" s="30"/>
      <c r="K24" s="55"/>
      <c r="L24" s="30"/>
      <c r="M24" s="31"/>
      <c r="N24" s="31"/>
      <c r="P24" s="32"/>
    </row>
    <row r="25" spans="1:22" s="1" customFormat="1" x14ac:dyDescent="0.3">
      <c r="A25" s="656"/>
      <c r="B25" s="56"/>
      <c r="C25"/>
      <c r="D25"/>
      <c r="E25"/>
      <c r="F25" s="56"/>
      <c r="G25"/>
      <c r="H25"/>
      <c r="I25"/>
      <c r="J25"/>
      <c r="K25"/>
      <c r="L25"/>
      <c r="O25" s="657"/>
      <c r="R25" s="657"/>
      <c r="U25" s="657"/>
    </row>
    <row r="26" spans="1:22" ht="38.1" customHeight="1" x14ac:dyDescent="0.3">
      <c r="B26" s="658" t="s">
        <v>819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649"/>
      <c r="P26" s="57"/>
    </row>
    <row r="27" spans="1:22" ht="38.1" customHeight="1" x14ac:dyDescent="0.3">
      <c r="B27" s="659" t="s">
        <v>820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649"/>
      <c r="P27" s="57"/>
    </row>
    <row r="30" spans="1:22" ht="15" thickBot="1" x14ac:dyDescent="0.35">
      <c r="A30" t="s">
        <v>36</v>
      </c>
      <c r="B30" s="56"/>
      <c r="D30" s="56"/>
      <c r="K30" s="1"/>
      <c r="L30" s="1"/>
      <c r="M30" s="1"/>
      <c r="N30" s="57"/>
    </row>
    <row r="31" spans="1:22" ht="15" thickBot="1" x14ac:dyDescent="0.35">
      <c r="A31" s="872" t="s">
        <v>37</v>
      </c>
      <c r="B31" s="873"/>
      <c r="C31" s="873"/>
      <c r="D31" s="873"/>
      <c r="E31" s="873"/>
      <c r="F31" s="873"/>
      <c r="G31" s="873"/>
      <c r="H31" s="873"/>
      <c r="I31" s="874"/>
      <c r="J31" s="2"/>
      <c r="K31" s="3" t="s">
        <v>38</v>
      </c>
      <c r="L31" s="660"/>
      <c r="N31" s="661"/>
    </row>
    <row r="32" spans="1:22" ht="83.4" thickBot="1" x14ac:dyDescent="0.35">
      <c r="A32" s="100"/>
      <c r="B32" s="101" t="s">
        <v>40</v>
      </c>
      <c r="C32" s="899" t="s">
        <v>41</v>
      </c>
      <c r="D32" s="900"/>
      <c r="E32" s="901" t="s">
        <v>42</v>
      </c>
      <c r="F32" s="902"/>
      <c r="G32" s="899" t="s">
        <v>43</v>
      </c>
      <c r="H32" s="900"/>
      <c r="I32" s="7" t="s">
        <v>132</v>
      </c>
      <c r="J32" s="7" t="s">
        <v>821</v>
      </c>
      <c r="K32" s="8" t="s">
        <v>822</v>
      </c>
      <c r="L32" s="662" t="s">
        <v>823</v>
      </c>
      <c r="M32" s="661"/>
      <c r="N32" s="661"/>
      <c r="P32" s="661"/>
      <c r="R32" s="663"/>
      <c r="S32" s="661"/>
      <c r="U32" s="663"/>
      <c r="V32" s="661"/>
    </row>
    <row r="33" spans="1:16" ht="27.6" x14ac:dyDescent="0.3">
      <c r="A33" s="9"/>
      <c r="B33" s="10"/>
      <c r="C33" s="11" t="s">
        <v>48</v>
      </c>
      <c r="D33" s="13" t="s">
        <v>824</v>
      </c>
      <c r="E33" s="13" t="s">
        <v>48</v>
      </c>
      <c r="F33" s="13" t="s">
        <v>825</v>
      </c>
      <c r="G33" s="12" t="s">
        <v>48</v>
      </c>
      <c r="H33" s="13" t="s">
        <v>825</v>
      </c>
      <c r="I33" s="14"/>
      <c r="J33" s="103"/>
      <c r="K33" s="12"/>
      <c r="L33" s="499"/>
      <c r="M33" s="664"/>
      <c r="N33" s="665"/>
    </row>
    <row r="34" spans="1:16" ht="28.2" x14ac:dyDescent="0.3">
      <c r="A34" s="44">
        <v>1</v>
      </c>
      <c r="B34" s="650" t="s">
        <v>826</v>
      </c>
      <c r="C34" s="70">
        <v>10000</v>
      </c>
      <c r="D34" s="70">
        <v>3000</v>
      </c>
      <c r="E34" s="16">
        <v>5000</v>
      </c>
      <c r="F34" s="70">
        <v>1000</v>
      </c>
      <c r="G34" s="16">
        <v>10000</v>
      </c>
      <c r="H34" s="70">
        <v>2000</v>
      </c>
      <c r="I34" s="16"/>
      <c r="J34" s="16">
        <v>2000</v>
      </c>
      <c r="K34" s="16"/>
      <c r="L34" s="16">
        <v>2000</v>
      </c>
      <c r="M34" s="665"/>
      <c r="N34" s="665"/>
    </row>
    <row r="35" spans="1:16" ht="42" x14ac:dyDescent="0.3">
      <c r="A35" s="51">
        <v>2</v>
      </c>
      <c r="B35" s="52" t="s">
        <v>799</v>
      </c>
      <c r="C35" s="17"/>
      <c r="D35" s="17"/>
      <c r="E35" s="632">
        <v>10000</v>
      </c>
      <c r="F35" s="79"/>
      <c r="G35" s="632">
        <v>10000</v>
      </c>
      <c r="H35" s="79"/>
      <c r="I35" s="632"/>
      <c r="J35" s="18"/>
      <c r="K35" s="18"/>
      <c r="L35" s="108"/>
    </row>
    <row r="36" spans="1:16" ht="28.2" x14ac:dyDescent="0.3">
      <c r="A36" s="51">
        <v>3</v>
      </c>
      <c r="B36" s="52" t="s">
        <v>800</v>
      </c>
      <c r="C36" s="17"/>
      <c r="D36" s="17"/>
      <c r="E36" s="632">
        <v>10000</v>
      </c>
      <c r="F36" s="79">
        <v>5000</v>
      </c>
      <c r="G36" s="632">
        <v>10000</v>
      </c>
      <c r="H36" s="79">
        <v>5000</v>
      </c>
      <c r="I36" s="632">
        <v>2000</v>
      </c>
      <c r="J36" s="18">
        <v>15000</v>
      </c>
      <c r="K36" s="18">
        <v>5000</v>
      </c>
      <c r="L36" s="108">
        <v>2000</v>
      </c>
      <c r="M36" s="666"/>
      <c r="P36" s="26"/>
    </row>
    <row r="37" spans="1:16" ht="28.2" x14ac:dyDescent="0.3">
      <c r="A37" s="51">
        <v>4</v>
      </c>
      <c r="B37" s="52" t="s">
        <v>827</v>
      </c>
      <c r="C37" s="17"/>
      <c r="D37" s="17"/>
      <c r="E37" s="79"/>
      <c r="F37" s="79"/>
      <c r="G37" s="79"/>
      <c r="H37" s="79"/>
      <c r="I37" s="632">
        <v>2000</v>
      </c>
      <c r="J37" s="18"/>
      <c r="K37" s="18"/>
      <c r="L37" s="632"/>
    </row>
    <row r="38" spans="1:16" ht="28.2" x14ac:dyDescent="0.3">
      <c r="A38" s="51">
        <v>5</v>
      </c>
      <c r="B38" s="52" t="s">
        <v>828</v>
      </c>
      <c r="C38" s="17"/>
      <c r="D38" s="17"/>
      <c r="E38" s="632">
        <v>10000</v>
      </c>
      <c r="F38" s="79">
        <v>5000</v>
      </c>
      <c r="G38" s="632">
        <v>10000</v>
      </c>
      <c r="H38" s="79">
        <v>5000</v>
      </c>
      <c r="I38" s="632"/>
      <c r="J38" s="18">
        <v>5000</v>
      </c>
      <c r="K38" s="18">
        <v>5000</v>
      </c>
      <c r="L38" s="108">
        <v>2000</v>
      </c>
    </row>
    <row r="39" spans="1:16" ht="42" x14ac:dyDescent="0.3">
      <c r="A39" s="51">
        <v>6</v>
      </c>
      <c r="B39" s="52" t="s">
        <v>829</v>
      </c>
      <c r="C39" s="17"/>
      <c r="D39" s="17"/>
      <c r="E39" s="79">
        <v>5000</v>
      </c>
      <c r="F39" s="79">
        <v>3000</v>
      </c>
      <c r="G39" s="632">
        <v>10000</v>
      </c>
      <c r="H39" s="79">
        <v>5000</v>
      </c>
      <c r="I39" s="632"/>
      <c r="J39" s="18">
        <v>10000</v>
      </c>
      <c r="K39" s="18">
        <v>5000</v>
      </c>
      <c r="L39" s="108">
        <v>2000</v>
      </c>
    </row>
    <row r="40" spans="1:16" ht="28.2" x14ac:dyDescent="0.3">
      <c r="A40" s="51">
        <v>7</v>
      </c>
      <c r="B40" s="52" t="s">
        <v>805</v>
      </c>
      <c r="C40" s="17"/>
      <c r="D40" s="17"/>
      <c r="E40" s="632">
        <v>10000</v>
      </c>
      <c r="F40" s="79">
        <v>5000</v>
      </c>
      <c r="G40" s="632">
        <v>10000</v>
      </c>
      <c r="H40" s="79">
        <v>5000</v>
      </c>
      <c r="I40" s="632">
        <v>3000</v>
      </c>
      <c r="J40" s="18">
        <v>10000</v>
      </c>
      <c r="K40" s="18">
        <v>5000</v>
      </c>
      <c r="L40" s="108">
        <v>2000</v>
      </c>
    </row>
    <row r="41" spans="1:16" ht="42" x14ac:dyDescent="0.3">
      <c r="A41" s="51">
        <v>8</v>
      </c>
      <c r="B41" s="52" t="s">
        <v>830</v>
      </c>
      <c r="C41" s="17"/>
      <c r="D41" s="17"/>
      <c r="E41" s="632">
        <v>10000</v>
      </c>
      <c r="F41" s="79">
        <v>5000</v>
      </c>
      <c r="G41" s="79">
        <v>5000</v>
      </c>
      <c r="H41" s="79">
        <v>5000</v>
      </c>
      <c r="I41" s="632"/>
      <c r="J41" s="18">
        <v>5000</v>
      </c>
      <c r="K41" s="18">
        <v>5000</v>
      </c>
      <c r="L41" s="108">
        <v>2000</v>
      </c>
    </row>
    <row r="42" spans="1:16" ht="42" x14ac:dyDescent="0.3">
      <c r="A42" s="51">
        <v>9</v>
      </c>
      <c r="B42" s="52" t="s">
        <v>831</v>
      </c>
      <c r="C42" s="17"/>
      <c r="D42" s="17"/>
      <c r="E42" s="79">
        <v>5000</v>
      </c>
      <c r="F42" s="79">
        <v>5000</v>
      </c>
      <c r="G42" s="79">
        <v>5000</v>
      </c>
      <c r="H42" s="79">
        <v>5000</v>
      </c>
      <c r="I42" s="632"/>
      <c r="J42" s="18">
        <v>5000</v>
      </c>
      <c r="K42" s="18">
        <v>5000</v>
      </c>
      <c r="L42" s="108">
        <v>2000</v>
      </c>
    </row>
    <row r="43" spans="1:16" x14ac:dyDescent="0.3">
      <c r="A43" s="51">
        <v>10</v>
      </c>
      <c r="B43" s="52" t="s">
        <v>832</v>
      </c>
      <c r="C43" s="17"/>
      <c r="D43" s="17"/>
      <c r="E43" s="17"/>
      <c r="F43" s="17"/>
      <c r="G43" s="17"/>
      <c r="H43" s="17"/>
      <c r="I43" s="18"/>
      <c r="J43" s="18">
        <v>100</v>
      </c>
      <c r="K43" s="18"/>
      <c r="L43" s="632">
        <v>2000</v>
      </c>
    </row>
    <row r="44" spans="1:16" x14ac:dyDescent="0.3">
      <c r="A44" s="51">
        <v>11</v>
      </c>
      <c r="B44" s="52" t="s">
        <v>833</v>
      </c>
      <c r="C44" s="17"/>
      <c r="D44" s="17"/>
      <c r="E44" s="17"/>
      <c r="F44" s="17"/>
      <c r="G44" s="17"/>
      <c r="H44" s="17"/>
      <c r="I44" s="18"/>
      <c r="J44" s="18">
        <v>2500</v>
      </c>
      <c r="K44" s="18">
        <v>2500</v>
      </c>
      <c r="L44" s="108">
        <v>2000</v>
      </c>
    </row>
    <row r="45" spans="1:16" x14ac:dyDescent="0.3">
      <c r="A45" s="51">
        <v>12</v>
      </c>
      <c r="B45" s="52" t="s">
        <v>834</v>
      </c>
      <c r="C45" s="17"/>
      <c r="D45" s="17"/>
      <c r="E45" s="17"/>
      <c r="F45" s="17"/>
      <c r="G45" s="17"/>
      <c r="H45" s="17"/>
      <c r="I45" s="18"/>
      <c r="J45" s="18">
        <v>2500</v>
      </c>
      <c r="K45" s="18">
        <v>2500</v>
      </c>
      <c r="L45" s="632"/>
    </row>
    <row r="46" spans="1:16" ht="42" x14ac:dyDescent="0.3">
      <c r="A46" s="51">
        <v>13</v>
      </c>
      <c r="B46" s="52" t="s">
        <v>835</v>
      </c>
      <c r="C46" s="17"/>
      <c r="D46" s="17"/>
      <c r="E46" s="17"/>
      <c r="F46" s="17"/>
      <c r="G46" s="17"/>
      <c r="H46" s="17"/>
      <c r="I46" s="18"/>
      <c r="J46" s="18">
        <v>5000</v>
      </c>
      <c r="K46" s="18">
        <v>5000</v>
      </c>
      <c r="L46" s="18"/>
    </row>
    <row r="47" spans="1:16" ht="42" x14ac:dyDescent="0.3">
      <c r="A47" s="51">
        <v>14</v>
      </c>
      <c r="B47" s="52" t="s">
        <v>836</v>
      </c>
      <c r="C47" s="17"/>
      <c r="D47" s="17"/>
      <c r="E47" s="17"/>
      <c r="F47" s="17"/>
      <c r="G47" s="17"/>
      <c r="H47" s="17"/>
      <c r="I47" s="18"/>
      <c r="J47" s="18">
        <v>2000</v>
      </c>
      <c r="K47" s="18">
        <v>2000</v>
      </c>
      <c r="L47" s="18"/>
    </row>
    <row r="48" spans="1:16" ht="42" x14ac:dyDescent="0.3">
      <c r="A48" s="51">
        <v>15</v>
      </c>
      <c r="B48" s="52" t="s">
        <v>815</v>
      </c>
      <c r="C48" s="17"/>
      <c r="D48" s="17"/>
      <c r="E48" s="17"/>
      <c r="F48" s="17"/>
      <c r="G48" s="17"/>
      <c r="H48" s="17"/>
      <c r="I48" s="18"/>
      <c r="J48" s="18">
        <v>2000</v>
      </c>
      <c r="K48" s="18">
        <v>2000</v>
      </c>
      <c r="L48" s="18"/>
    </row>
    <row r="49" spans="1:12" ht="28.2" x14ac:dyDescent="0.3">
      <c r="A49" s="51">
        <v>16</v>
      </c>
      <c r="B49" s="52" t="s">
        <v>816</v>
      </c>
      <c r="C49" s="17"/>
      <c r="D49" s="17"/>
      <c r="E49" s="17"/>
      <c r="F49" s="17"/>
      <c r="G49" s="17"/>
      <c r="H49" s="17"/>
      <c r="I49" s="18"/>
      <c r="J49" s="18">
        <v>2000</v>
      </c>
      <c r="K49" s="18">
        <v>2000</v>
      </c>
      <c r="L49" s="18"/>
    </row>
    <row r="50" spans="1:12" ht="42" x14ac:dyDescent="0.3">
      <c r="A50" s="51">
        <v>17</v>
      </c>
      <c r="B50" s="52" t="s">
        <v>817</v>
      </c>
      <c r="C50" s="17"/>
      <c r="D50" s="17"/>
      <c r="E50" s="17"/>
      <c r="F50" s="17"/>
      <c r="G50" s="18">
        <v>3000</v>
      </c>
      <c r="H50" s="18">
        <v>2000</v>
      </c>
      <c r="I50" s="18"/>
      <c r="J50" s="18">
        <v>2000</v>
      </c>
      <c r="K50" s="18">
        <v>2000</v>
      </c>
      <c r="L50" s="108">
        <v>2000</v>
      </c>
    </row>
    <row r="51" spans="1:12" ht="42" x14ac:dyDescent="0.3">
      <c r="A51" s="19">
        <v>18</v>
      </c>
      <c r="B51" s="20" t="s">
        <v>818</v>
      </c>
      <c r="C51" s="17"/>
      <c r="D51" s="17"/>
      <c r="E51" s="17"/>
      <c r="F51" s="17"/>
      <c r="G51" s="17"/>
      <c r="H51" s="17"/>
      <c r="I51" s="18"/>
      <c r="J51" s="18">
        <v>2000</v>
      </c>
      <c r="K51" s="18">
        <v>2000</v>
      </c>
      <c r="L51" s="18">
        <v>2000</v>
      </c>
    </row>
  </sheetData>
  <mergeCells count="5">
    <mergeCell ref="B3:B4"/>
    <mergeCell ref="A31:I31"/>
    <mergeCell ref="C32:D32"/>
    <mergeCell ref="E32:F32"/>
    <mergeCell ref="G32:H32"/>
  </mergeCells>
  <pageMargins left="0.25" right="0.22" top="0.74803149606299213" bottom="0.74803149606299213" header="0.31496062992125984" footer="0.31496062992125984"/>
  <pageSetup paperSize="9" scale="3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A8AAA-7667-4FC6-A55B-2322AA246AB6}">
  <dimension ref="A1:S6"/>
  <sheetViews>
    <sheetView workbookViewId="0">
      <selection activeCell="I10" sqref="I10"/>
    </sheetView>
  </sheetViews>
  <sheetFormatPr defaultRowHeight="14.4" x14ac:dyDescent="0.3"/>
  <cols>
    <col min="2" max="2" width="12.88671875" customWidth="1"/>
    <col min="3" max="3" width="13" customWidth="1"/>
    <col min="4" max="4" width="21.77734375" customWidth="1"/>
    <col min="5" max="5" width="18" customWidth="1"/>
    <col min="6" max="6" width="4.44140625" customWidth="1"/>
    <col min="7" max="7" width="6" customWidth="1"/>
    <col min="8" max="8" width="6.33203125" customWidth="1"/>
    <col min="11" max="11" width="7.109375" customWidth="1"/>
    <col min="12" max="12" width="4.109375" customWidth="1"/>
    <col min="13" max="13" width="4.44140625" customWidth="1"/>
    <col min="14" max="14" width="5.109375" customWidth="1"/>
    <col min="16" max="16" width="14.44140625" customWidth="1"/>
  </cols>
  <sheetData>
    <row r="1" spans="1:19" x14ac:dyDescent="0.3">
      <c r="A1" s="21" t="s">
        <v>837</v>
      </c>
    </row>
    <row r="3" spans="1:19" ht="43.2" x14ac:dyDescent="0.3">
      <c r="A3" s="17" t="s">
        <v>137</v>
      </c>
      <c r="B3" s="23" t="s">
        <v>138</v>
      </c>
      <c r="C3" s="23" t="s">
        <v>139</v>
      </c>
      <c r="D3" s="23" t="s">
        <v>140</v>
      </c>
      <c r="E3" s="23" t="s">
        <v>141</v>
      </c>
      <c r="F3" s="23" t="s">
        <v>142</v>
      </c>
      <c r="G3" s="23" t="s">
        <v>143</v>
      </c>
      <c r="H3" s="23" t="s">
        <v>144</v>
      </c>
      <c r="I3" s="23" t="s">
        <v>145</v>
      </c>
      <c r="J3" s="23" t="s">
        <v>146</v>
      </c>
      <c r="K3" s="23" t="s">
        <v>147</v>
      </c>
      <c r="L3" s="23" t="s">
        <v>148</v>
      </c>
      <c r="M3" s="23" t="s">
        <v>149</v>
      </c>
      <c r="N3" s="23" t="s">
        <v>150</v>
      </c>
      <c r="O3" s="23" t="s">
        <v>151</v>
      </c>
      <c r="P3" s="23" t="s">
        <v>152</v>
      </c>
      <c r="Q3" s="23" t="s">
        <v>153</v>
      </c>
      <c r="R3" s="23" t="s">
        <v>154</v>
      </c>
      <c r="S3" s="23" t="s">
        <v>221</v>
      </c>
    </row>
    <row r="4" spans="1:19" ht="100.8" x14ac:dyDescent="0.3">
      <c r="A4" s="17">
        <v>1</v>
      </c>
      <c r="B4" s="17" t="s">
        <v>838</v>
      </c>
      <c r="C4" s="17" t="s">
        <v>156</v>
      </c>
      <c r="D4" s="17" t="s">
        <v>839</v>
      </c>
      <c r="E4" s="23" t="s">
        <v>840</v>
      </c>
      <c r="F4" s="17">
        <v>68</v>
      </c>
      <c r="G4" s="17">
        <v>2560</v>
      </c>
      <c r="H4" s="17">
        <v>5</v>
      </c>
      <c r="I4" s="17"/>
      <c r="J4" s="18">
        <v>21070</v>
      </c>
      <c r="K4" s="17">
        <v>2016</v>
      </c>
      <c r="L4" s="17" t="s">
        <v>159</v>
      </c>
      <c r="M4" s="17" t="s">
        <v>159</v>
      </c>
      <c r="N4" s="17" t="s">
        <v>159</v>
      </c>
      <c r="O4" s="80">
        <v>0.01</v>
      </c>
      <c r="P4" s="23" t="s">
        <v>841</v>
      </c>
      <c r="Q4" s="17" t="s">
        <v>159</v>
      </c>
      <c r="R4" s="17" t="s">
        <v>160</v>
      </c>
      <c r="S4" s="17" t="s">
        <v>160</v>
      </c>
    </row>
    <row r="5" spans="1:19" ht="100.8" x14ac:dyDescent="0.3">
      <c r="A5" s="17">
        <v>2</v>
      </c>
      <c r="B5" s="17" t="s">
        <v>2334</v>
      </c>
      <c r="C5" s="17" t="s">
        <v>156</v>
      </c>
      <c r="D5" s="17" t="s">
        <v>2335</v>
      </c>
      <c r="E5" s="23" t="s">
        <v>2336</v>
      </c>
      <c r="F5" s="17">
        <v>47</v>
      </c>
      <c r="G5" s="17">
        <v>1896</v>
      </c>
      <c r="H5" s="17">
        <v>5</v>
      </c>
      <c r="I5" s="17"/>
      <c r="J5" s="18">
        <v>12231</v>
      </c>
      <c r="K5" s="17">
        <v>2006</v>
      </c>
      <c r="L5" s="17" t="s">
        <v>159</v>
      </c>
      <c r="M5" s="17" t="s">
        <v>159</v>
      </c>
      <c r="N5" s="17" t="s">
        <v>159</v>
      </c>
      <c r="O5" s="80">
        <v>0.01</v>
      </c>
      <c r="P5" s="23" t="s">
        <v>841</v>
      </c>
      <c r="Q5" s="17" t="s">
        <v>159</v>
      </c>
      <c r="R5" s="17" t="s">
        <v>160</v>
      </c>
      <c r="S5" s="17" t="s">
        <v>160</v>
      </c>
    </row>
    <row r="6" spans="1:19" ht="57.6" x14ac:dyDescent="0.3">
      <c r="A6" s="17">
        <v>3</v>
      </c>
      <c r="B6" s="17" t="s">
        <v>842</v>
      </c>
      <c r="C6" s="23" t="s">
        <v>252</v>
      </c>
      <c r="D6" s="17" t="s">
        <v>843</v>
      </c>
      <c r="E6" s="23" t="s">
        <v>844</v>
      </c>
      <c r="F6" s="17">
        <v>110</v>
      </c>
      <c r="G6" s="17">
        <v>2198</v>
      </c>
      <c r="H6" s="17">
        <v>3</v>
      </c>
      <c r="I6" s="17"/>
      <c r="J6" s="18">
        <v>31972</v>
      </c>
      <c r="K6" s="17">
        <v>2013</v>
      </c>
      <c r="L6" s="17" t="s">
        <v>159</v>
      </c>
      <c r="M6" s="17" t="s">
        <v>159</v>
      </c>
      <c r="N6" s="17" t="s">
        <v>159</v>
      </c>
      <c r="O6" s="80">
        <v>0.01</v>
      </c>
      <c r="P6" s="23" t="s">
        <v>845</v>
      </c>
      <c r="Q6" s="17" t="s">
        <v>159</v>
      </c>
      <c r="R6" s="17" t="s">
        <v>160</v>
      </c>
      <c r="S6" s="17" t="s">
        <v>160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344DC-02A8-4F9B-90CE-8CAC1AB9FD5B}">
  <dimension ref="A1:AZ466"/>
  <sheetViews>
    <sheetView showZeros="0" topLeftCell="C1" zoomScale="130" zoomScaleNormal="130" workbookViewId="0">
      <pane xSplit="32" ySplit="1" topLeftCell="AI371" activePane="bottomRight" state="frozen"/>
      <selection activeCell="C1" sqref="C1"/>
      <selection pane="topRight" activeCell="AJ1" sqref="AJ1"/>
      <selection pane="bottomLeft" activeCell="C2" sqref="C2"/>
      <selection pane="bottomRight" activeCell="AM45" sqref="AM45:AN45"/>
    </sheetView>
  </sheetViews>
  <sheetFormatPr defaultRowHeight="15.6" x14ac:dyDescent="0.3"/>
  <cols>
    <col min="1" max="1" width="5.5546875" style="669" hidden="1" customWidth="1"/>
    <col min="2" max="2" width="6.6640625" style="759" hidden="1" customWidth="1"/>
    <col min="3" max="3" width="6.6640625" style="759" customWidth="1"/>
    <col min="4" max="4" width="8.6640625" style="735" hidden="1" customWidth="1"/>
    <col min="5" max="5" width="9.5546875" style="735" hidden="1" customWidth="1"/>
    <col min="6" max="6" width="1.88671875" style="736" customWidth="1"/>
    <col min="7" max="7" width="6.88671875" style="736" bestFit="1" customWidth="1"/>
    <col min="8" max="8" width="8" style="737" hidden="1" customWidth="1"/>
    <col min="9" max="9" width="15.44140625" style="738" hidden="1" customWidth="1"/>
    <col min="10" max="10" width="10.33203125" style="736" hidden="1" customWidth="1"/>
    <col min="11" max="11" width="10.33203125" style="738" hidden="1" customWidth="1"/>
    <col min="12" max="12" width="11.6640625" style="736" hidden="1" customWidth="1"/>
    <col min="13" max="13" width="9.6640625" style="739" hidden="1" customWidth="1"/>
    <col min="14" max="14" width="13.109375" style="739" hidden="1" customWidth="1"/>
    <col min="15" max="15" width="10.44140625" style="735" hidden="1" customWidth="1"/>
    <col min="16" max="16" width="25" style="735" customWidth="1"/>
    <col min="17" max="17" width="10.109375" style="740" hidden="1" customWidth="1"/>
    <col min="18" max="18" width="20.33203125" style="735" hidden="1" customWidth="1"/>
    <col min="19" max="19" width="22" style="735" hidden="1" customWidth="1"/>
    <col min="20" max="20" width="32.6640625" style="735" hidden="1" customWidth="1"/>
    <col min="21" max="21" width="7.88671875" style="735" hidden="1" customWidth="1"/>
    <col min="22" max="22" width="19.44140625" style="735" hidden="1" customWidth="1"/>
    <col min="23" max="23" width="11.33203125" style="685" hidden="1" customWidth="1"/>
    <col min="24" max="24" width="8" style="741" hidden="1" customWidth="1"/>
    <col min="25" max="25" width="17.33203125" style="735" hidden="1" customWidth="1"/>
    <col min="26" max="26" width="10.109375" style="735" hidden="1" customWidth="1"/>
    <col min="27" max="27" width="7.88671875" style="735" hidden="1" customWidth="1"/>
    <col min="28" max="28" width="7.33203125" style="735" hidden="1" customWidth="1"/>
    <col min="29" max="29" width="11.6640625" style="735" hidden="1" customWidth="1"/>
    <col min="30" max="30" width="10" style="735" hidden="1" customWidth="1"/>
    <col min="31" max="31" width="13.109375" style="736" hidden="1" customWidth="1"/>
    <col min="32" max="32" width="12.44140625" style="739" hidden="1" customWidth="1"/>
    <col min="33" max="33" width="6.33203125" style="735" hidden="1" customWidth="1"/>
    <col min="34" max="34" width="11.88671875" style="739" hidden="1" customWidth="1"/>
    <col min="35" max="35" width="7.6640625" style="741" customWidth="1"/>
    <col min="36" max="36" width="17.6640625" style="698" customWidth="1"/>
    <col min="37" max="37" width="19" style="736" customWidth="1"/>
    <col min="38" max="38" width="17.6640625" style="685" customWidth="1"/>
    <col min="39" max="39" width="14.6640625" style="685" customWidth="1"/>
    <col min="40" max="40" width="16" style="685" customWidth="1"/>
    <col min="41" max="41" width="15" style="685" customWidth="1"/>
    <col min="42" max="42" width="15.109375" style="685" customWidth="1"/>
    <col min="43" max="158" width="9.109375" style="685" customWidth="1"/>
    <col min="159" max="256" width="8.88671875" style="685"/>
    <col min="257" max="258" width="0" style="685" hidden="1" customWidth="1"/>
    <col min="259" max="259" width="6.6640625" style="685" customWidth="1"/>
    <col min="260" max="261" width="0" style="685" hidden="1" customWidth="1"/>
    <col min="262" max="262" width="1.88671875" style="685" customWidth="1"/>
    <col min="263" max="263" width="6.88671875" style="685" bestFit="1" customWidth="1"/>
    <col min="264" max="271" width="0" style="685" hidden="1" customWidth="1"/>
    <col min="272" max="272" width="25" style="685" customWidth="1"/>
    <col min="273" max="290" width="0" style="685" hidden="1" customWidth="1"/>
    <col min="291" max="291" width="7.6640625" style="685" customWidth="1"/>
    <col min="292" max="292" width="17.6640625" style="685" customWidth="1"/>
    <col min="293" max="293" width="19" style="685" customWidth="1"/>
    <col min="294" max="294" width="17.6640625" style="685" customWidth="1"/>
    <col min="295" max="295" width="14.6640625" style="685" customWidth="1"/>
    <col min="296" max="296" width="16" style="685" customWidth="1"/>
    <col min="297" max="297" width="15" style="685" customWidth="1"/>
    <col min="298" max="298" width="15.109375" style="685" customWidth="1"/>
    <col min="299" max="414" width="9.109375" style="685" customWidth="1"/>
    <col min="415" max="512" width="8.88671875" style="685"/>
    <col min="513" max="514" width="0" style="685" hidden="1" customWidth="1"/>
    <col min="515" max="515" width="6.6640625" style="685" customWidth="1"/>
    <col min="516" max="517" width="0" style="685" hidden="1" customWidth="1"/>
    <col min="518" max="518" width="1.88671875" style="685" customWidth="1"/>
    <col min="519" max="519" width="6.88671875" style="685" bestFit="1" customWidth="1"/>
    <col min="520" max="527" width="0" style="685" hidden="1" customWidth="1"/>
    <col min="528" max="528" width="25" style="685" customWidth="1"/>
    <col min="529" max="546" width="0" style="685" hidden="1" customWidth="1"/>
    <col min="547" max="547" width="7.6640625" style="685" customWidth="1"/>
    <col min="548" max="548" width="17.6640625" style="685" customWidth="1"/>
    <col min="549" max="549" width="19" style="685" customWidth="1"/>
    <col min="550" max="550" width="17.6640625" style="685" customWidth="1"/>
    <col min="551" max="551" width="14.6640625" style="685" customWidth="1"/>
    <col min="552" max="552" width="16" style="685" customWidth="1"/>
    <col min="553" max="553" width="15" style="685" customWidth="1"/>
    <col min="554" max="554" width="15.109375" style="685" customWidth="1"/>
    <col min="555" max="670" width="9.109375" style="685" customWidth="1"/>
    <col min="671" max="768" width="8.88671875" style="685"/>
    <col min="769" max="770" width="0" style="685" hidden="1" customWidth="1"/>
    <col min="771" max="771" width="6.6640625" style="685" customWidth="1"/>
    <col min="772" max="773" width="0" style="685" hidden="1" customWidth="1"/>
    <col min="774" max="774" width="1.88671875" style="685" customWidth="1"/>
    <col min="775" max="775" width="6.88671875" style="685" bestFit="1" customWidth="1"/>
    <col min="776" max="783" width="0" style="685" hidden="1" customWidth="1"/>
    <col min="784" max="784" width="25" style="685" customWidth="1"/>
    <col min="785" max="802" width="0" style="685" hidden="1" customWidth="1"/>
    <col min="803" max="803" width="7.6640625" style="685" customWidth="1"/>
    <col min="804" max="804" width="17.6640625" style="685" customWidth="1"/>
    <col min="805" max="805" width="19" style="685" customWidth="1"/>
    <col min="806" max="806" width="17.6640625" style="685" customWidth="1"/>
    <col min="807" max="807" width="14.6640625" style="685" customWidth="1"/>
    <col min="808" max="808" width="16" style="685" customWidth="1"/>
    <col min="809" max="809" width="15" style="685" customWidth="1"/>
    <col min="810" max="810" width="15.109375" style="685" customWidth="1"/>
    <col min="811" max="926" width="9.109375" style="685" customWidth="1"/>
    <col min="927" max="1024" width="8.88671875" style="685"/>
    <col min="1025" max="1026" width="0" style="685" hidden="1" customWidth="1"/>
    <col min="1027" max="1027" width="6.6640625" style="685" customWidth="1"/>
    <col min="1028" max="1029" width="0" style="685" hidden="1" customWidth="1"/>
    <col min="1030" max="1030" width="1.88671875" style="685" customWidth="1"/>
    <col min="1031" max="1031" width="6.88671875" style="685" bestFit="1" customWidth="1"/>
    <col min="1032" max="1039" width="0" style="685" hidden="1" customWidth="1"/>
    <col min="1040" max="1040" width="25" style="685" customWidth="1"/>
    <col min="1041" max="1058" width="0" style="685" hidden="1" customWidth="1"/>
    <col min="1059" max="1059" width="7.6640625" style="685" customWidth="1"/>
    <col min="1060" max="1060" width="17.6640625" style="685" customWidth="1"/>
    <col min="1061" max="1061" width="19" style="685" customWidth="1"/>
    <col min="1062" max="1062" width="17.6640625" style="685" customWidth="1"/>
    <col min="1063" max="1063" width="14.6640625" style="685" customWidth="1"/>
    <col min="1064" max="1064" width="16" style="685" customWidth="1"/>
    <col min="1065" max="1065" width="15" style="685" customWidth="1"/>
    <col min="1066" max="1066" width="15.109375" style="685" customWidth="1"/>
    <col min="1067" max="1182" width="9.109375" style="685" customWidth="1"/>
    <col min="1183" max="1280" width="8.88671875" style="685"/>
    <col min="1281" max="1282" width="0" style="685" hidden="1" customWidth="1"/>
    <col min="1283" max="1283" width="6.6640625" style="685" customWidth="1"/>
    <col min="1284" max="1285" width="0" style="685" hidden="1" customWidth="1"/>
    <col min="1286" max="1286" width="1.88671875" style="685" customWidth="1"/>
    <col min="1287" max="1287" width="6.88671875" style="685" bestFit="1" customWidth="1"/>
    <col min="1288" max="1295" width="0" style="685" hidden="1" customWidth="1"/>
    <col min="1296" max="1296" width="25" style="685" customWidth="1"/>
    <col min="1297" max="1314" width="0" style="685" hidden="1" customWidth="1"/>
    <col min="1315" max="1315" width="7.6640625" style="685" customWidth="1"/>
    <col min="1316" max="1316" width="17.6640625" style="685" customWidth="1"/>
    <col min="1317" max="1317" width="19" style="685" customWidth="1"/>
    <col min="1318" max="1318" width="17.6640625" style="685" customWidth="1"/>
    <col min="1319" max="1319" width="14.6640625" style="685" customWidth="1"/>
    <col min="1320" max="1320" width="16" style="685" customWidth="1"/>
    <col min="1321" max="1321" width="15" style="685" customWidth="1"/>
    <col min="1322" max="1322" width="15.109375" style="685" customWidth="1"/>
    <col min="1323" max="1438" width="9.109375" style="685" customWidth="1"/>
    <col min="1439" max="1536" width="8.88671875" style="685"/>
    <col min="1537" max="1538" width="0" style="685" hidden="1" customWidth="1"/>
    <col min="1539" max="1539" width="6.6640625" style="685" customWidth="1"/>
    <col min="1540" max="1541" width="0" style="685" hidden="1" customWidth="1"/>
    <col min="1542" max="1542" width="1.88671875" style="685" customWidth="1"/>
    <col min="1543" max="1543" width="6.88671875" style="685" bestFit="1" customWidth="1"/>
    <col min="1544" max="1551" width="0" style="685" hidden="1" customWidth="1"/>
    <col min="1552" max="1552" width="25" style="685" customWidth="1"/>
    <col min="1553" max="1570" width="0" style="685" hidden="1" customWidth="1"/>
    <col min="1571" max="1571" width="7.6640625" style="685" customWidth="1"/>
    <col min="1572" max="1572" width="17.6640625" style="685" customWidth="1"/>
    <col min="1573" max="1573" width="19" style="685" customWidth="1"/>
    <col min="1574" max="1574" width="17.6640625" style="685" customWidth="1"/>
    <col min="1575" max="1575" width="14.6640625" style="685" customWidth="1"/>
    <col min="1576" max="1576" width="16" style="685" customWidth="1"/>
    <col min="1577" max="1577" width="15" style="685" customWidth="1"/>
    <col min="1578" max="1578" width="15.109375" style="685" customWidth="1"/>
    <col min="1579" max="1694" width="9.109375" style="685" customWidth="1"/>
    <col min="1695" max="1792" width="8.88671875" style="685"/>
    <col min="1793" max="1794" width="0" style="685" hidden="1" customWidth="1"/>
    <col min="1795" max="1795" width="6.6640625" style="685" customWidth="1"/>
    <col min="1796" max="1797" width="0" style="685" hidden="1" customWidth="1"/>
    <col min="1798" max="1798" width="1.88671875" style="685" customWidth="1"/>
    <col min="1799" max="1799" width="6.88671875" style="685" bestFit="1" customWidth="1"/>
    <col min="1800" max="1807" width="0" style="685" hidden="1" customWidth="1"/>
    <col min="1808" max="1808" width="25" style="685" customWidth="1"/>
    <col min="1809" max="1826" width="0" style="685" hidden="1" customWidth="1"/>
    <col min="1827" max="1827" width="7.6640625" style="685" customWidth="1"/>
    <col min="1828" max="1828" width="17.6640625" style="685" customWidth="1"/>
    <col min="1829" max="1829" width="19" style="685" customWidth="1"/>
    <col min="1830" max="1830" width="17.6640625" style="685" customWidth="1"/>
    <col min="1831" max="1831" width="14.6640625" style="685" customWidth="1"/>
    <col min="1832" max="1832" width="16" style="685" customWidth="1"/>
    <col min="1833" max="1833" width="15" style="685" customWidth="1"/>
    <col min="1834" max="1834" width="15.109375" style="685" customWidth="1"/>
    <col min="1835" max="1950" width="9.109375" style="685" customWidth="1"/>
    <col min="1951" max="2048" width="8.88671875" style="685"/>
    <col min="2049" max="2050" width="0" style="685" hidden="1" customWidth="1"/>
    <col min="2051" max="2051" width="6.6640625" style="685" customWidth="1"/>
    <col min="2052" max="2053" width="0" style="685" hidden="1" customWidth="1"/>
    <col min="2054" max="2054" width="1.88671875" style="685" customWidth="1"/>
    <col min="2055" max="2055" width="6.88671875" style="685" bestFit="1" customWidth="1"/>
    <col min="2056" max="2063" width="0" style="685" hidden="1" customWidth="1"/>
    <col min="2064" max="2064" width="25" style="685" customWidth="1"/>
    <col min="2065" max="2082" width="0" style="685" hidden="1" customWidth="1"/>
    <col min="2083" max="2083" width="7.6640625" style="685" customWidth="1"/>
    <col min="2084" max="2084" width="17.6640625" style="685" customWidth="1"/>
    <col min="2085" max="2085" width="19" style="685" customWidth="1"/>
    <col min="2086" max="2086" width="17.6640625" style="685" customWidth="1"/>
    <col min="2087" max="2087" width="14.6640625" style="685" customWidth="1"/>
    <col min="2088" max="2088" width="16" style="685" customWidth="1"/>
    <col min="2089" max="2089" width="15" style="685" customWidth="1"/>
    <col min="2090" max="2090" width="15.109375" style="685" customWidth="1"/>
    <col min="2091" max="2206" width="9.109375" style="685" customWidth="1"/>
    <col min="2207" max="2304" width="8.88671875" style="685"/>
    <col min="2305" max="2306" width="0" style="685" hidden="1" customWidth="1"/>
    <col min="2307" max="2307" width="6.6640625" style="685" customWidth="1"/>
    <col min="2308" max="2309" width="0" style="685" hidden="1" customWidth="1"/>
    <col min="2310" max="2310" width="1.88671875" style="685" customWidth="1"/>
    <col min="2311" max="2311" width="6.88671875" style="685" bestFit="1" customWidth="1"/>
    <col min="2312" max="2319" width="0" style="685" hidden="1" customWidth="1"/>
    <col min="2320" max="2320" width="25" style="685" customWidth="1"/>
    <col min="2321" max="2338" width="0" style="685" hidden="1" customWidth="1"/>
    <col min="2339" max="2339" width="7.6640625" style="685" customWidth="1"/>
    <col min="2340" max="2340" width="17.6640625" style="685" customWidth="1"/>
    <col min="2341" max="2341" width="19" style="685" customWidth="1"/>
    <col min="2342" max="2342" width="17.6640625" style="685" customWidth="1"/>
    <col min="2343" max="2343" width="14.6640625" style="685" customWidth="1"/>
    <col min="2344" max="2344" width="16" style="685" customWidth="1"/>
    <col min="2345" max="2345" width="15" style="685" customWidth="1"/>
    <col min="2346" max="2346" width="15.109375" style="685" customWidth="1"/>
    <col min="2347" max="2462" width="9.109375" style="685" customWidth="1"/>
    <col min="2463" max="2560" width="8.88671875" style="685"/>
    <col min="2561" max="2562" width="0" style="685" hidden="1" customWidth="1"/>
    <col min="2563" max="2563" width="6.6640625" style="685" customWidth="1"/>
    <col min="2564" max="2565" width="0" style="685" hidden="1" customWidth="1"/>
    <col min="2566" max="2566" width="1.88671875" style="685" customWidth="1"/>
    <col min="2567" max="2567" width="6.88671875" style="685" bestFit="1" customWidth="1"/>
    <col min="2568" max="2575" width="0" style="685" hidden="1" customWidth="1"/>
    <col min="2576" max="2576" width="25" style="685" customWidth="1"/>
    <col min="2577" max="2594" width="0" style="685" hidden="1" customWidth="1"/>
    <col min="2595" max="2595" width="7.6640625" style="685" customWidth="1"/>
    <col min="2596" max="2596" width="17.6640625" style="685" customWidth="1"/>
    <col min="2597" max="2597" width="19" style="685" customWidth="1"/>
    <col min="2598" max="2598" width="17.6640625" style="685" customWidth="1"/>
    <col min="2599" max="2599" width="14.6640625" style="685" customWidth="1"/>
    <col min="2600" max="2600" width="16" style="685" customWidth="1"/>
    <col min="2601" max="2601" width="15" style="685" customWidth="1"/>
    <col min="2602" max="2602" width="15.109375" style="685" customWidth="1"/>
    <col min="2603" max="2718" width="9.109375" style="685" customWidth="1"/>
    <col min="2719" max="2816" width="8.88671875" style="685"/>
    <col min="2817" max="2818" width="0" style="685" hidden="1" customWidth="1"/>
    <col min="2819" max="2819" width="6.6640625" style="685" customWidth="1"/>
    <col min="2820" max="2821" width="0" style="685" hidden="1" customWidth="1"/>
    <col min="2822" max="2822" width="1.88671875" style="685" customWidth="1"/>
    <col min="2823" max="2823" width="6.88671875" style="685" bestFit="1" customWidth="1"/>
    <col min="2824" max="2831" width="0" style="685" hidden="1" customWidth="1"/>
    <col min="2832" max="2832" width="25" style="685" customWidth="1"/>
    <col min="2833" max="2850" width="0" style="685" hidden="1" customWidth="1"/>
    <col min="2851" max="2851" width="7.6640625" style="685" customWidth="1"/>
    <col min="2852" max="2852" width="17.6640625" style="685" customWidth="1"/>
    <col min="2853" max="2853" width="19" style="685" customWidth="1"/>
    <col min="2854" max="2854" width="17.6640625" style="685" customWidth="1"/>
    <col min="2855" max="2855" width="14.6640625" style="685" customWidth="1"/>
    <col min="2856" max="2856" width="16" style="685" customWidth="1"/>
    <col min="2857" max="2857" width="15" style="685" customWidth="1"/>
    <col min="2858" max="2858" width="15.109375" style="685" customWidth="1"/>
    <col min="2859" max="2974" width="9.109375" style="685" customWidth="1"/>
    <col min="2975" max="3072" width="8.88671875" style="685"/>
    <col min="3073" max="3074" width="0" style="685" hidden="1" customWidth="1"/>
    <col min="3075" max="3075" width="6.6640625" style="685" customWidth="1"/>
    <col min="3076" max="3077" width="0" style="685" hidden="1" customWidth="1"/>
    <col min="3078" max="3078" width="1.88671875" style="685" customWidth="1"/>
    <col min="3079" max="3079" width="6.88671875" style="685" bestFit="1" customWidth="1"/>
    <col min="3080" max="3087" width="0" style="685" hidden="1" customWidth="1"/>
    <col min="3088" max="3088" width="25" style="685" customWidth="1"/>
    <col min="3089" max="3106" width="0" style="685" hidden="1" customWidth="1"/>
    <col min="3107" max="3107" width="7.6640625" style="685" customWidth="1"/>
    <col min="3108" max="3108" width="17.6640625" style="685" customWidth="1"/>
    <col min="3109" max="3109" width="19" style="685" customWidth="1"/>
    <col min="3110" max="3110" width="17.6640625" style="685" customWidth="1"/>
    <col min="3111" max="3111" width="14.6640625" style="685" customWidth="1"/>
    <col min="3112" max="3112" width="16" style="685" customWidth="1"/>
    <col min="3113" max="3113" width="15" style="685" customWidth="1"/>
    <col min="3114" max="3114" width="15.109375" style="685" customWidth="1"/>
    <col min="3115" max="3230" width="9.109375" style="685" customWidth="1"/>
    <col min="3231" max="3328" width="8.88671875" style="685"/>
    <col min="3329" max="3330" width="0" style="685" hidden="1" customWidth="1"/>
    <col min="3331" max="3331" width="6.6640625" style="685" customWidth="1"/>
    <col min="3332" max="3333" width="0" style="685" hidden="1" customWidth="1"/>
    <col min="3334" max="3334" width="1.88671875" style="685" customWidth="1"/>
    <col min="3335" max="3335" width="6.88671875" style="685" bestFit="1" customWidth="1"/>
    <col min="3336" max="3343" width="0" style="685" hidden="1" customWidth="1"/>
    <col min="3344" max="3344" width="25" style="685" customWidth="1"/>
    <col min="3345" max="3362" width="0" style="685" hidden="1" customWidth="1"/>
    <col min="3363" max="3363" width="7.6640625" style="685" customWidth="1"/>
    <col min="3364" max="3364" width="17.6640625" style="685" customWidth="1"/>
    <col min="3365" max="3365" width="19" style="685" customWidth="1"/>
    <col min="3366" max="3366" width="17.6640625" style="685" customWidth="1"/>
    <col min="3367" max="3367" width="14.6640625" style="685" customWidth="1"/>
    <col min="3368" max="3368" width="16" style="685" customWidth="1"/>
    <col min="3369" max="3369" width="15" style="685" customWidth="1"/>
    <col min="3370" max="3370" width="15.109375" style="685" customWidth="1"/>
    <col min="3371" max="3486" width="9.109375" style="685" customWidth="1"/>
    <col min="3487" max="3584" width="8.88671875" style="685"/>
    <col min="3585" max="3586" width="0" style="685" hidden="1" customWidth="1"/>
    <col min="3587" max="3587" width="6.6640625" style="685" customWidth="1"/>
    <col min="3588" max="3589" width="0" style="685" hidden="1" customWidth="1"/>
    <col min="3590" max="3590" width="1.88671875" style="685" customWidth="1"/>
    <col min="3591" max="3591" width="6.88671875" style="685" bestFit="1" customWidth="1"/>
    <col min="3592" max="3599" width="0" style="685" hidden="1" customWidth="1"/>
    <col min="3600" max="3600" width="25" style="685" customWidth="1"/>
    <col min="3601" max="3618" width="0" style="685" hidden="1" customWidth="1"/>
    <col min="3619" max="3619" width="7.6640625" style="685" customWidth="1"/>
    <col min="3620" max="3620" width="17.6640625" style="685" customWidth="1"/>
    <col min="3621" max="3621" width="19" style="685" customWidth="1"/>
    <col min="3622" max="3622" width="17.6640625" style="685" customWidth="1"/>
    <col min="3623" max="3623" width="14.6640625" style="685" customWidth="1"/>
    <col min="3624" max="3624" width="16" style="685" customWidth="1"/>
    <col min="3625" max="3625" width="15" style="685" customWidth="1"/>
    <col min="3626" max="3626" width="15.109375" style="685" customWidth="1"/>
    <col min="3627" max="3742" width="9.109375" style="685" customWidth="1"/>
    <col min="3743" max="3840" width="8.88671875" style="685"/>
    <col min="3841" max="3842" width="0" style="685" hidden="1" customWidth="1"/>
    <col min="3843" max="3843" width="6.6640625" style="685" customWidth="1"/>
    <col min="3844" max="3845" width="0" style="685" hidden="1" customWidth="1"/>
    <col min="3846" max="3846" width="1.88671875" style="685" customWidth="1"/>
    <col min="3847" max="3847" width="6.88671875" style="685" bestFit="1" customWidth="1"/>
    <col min="3848" max="3855" width="0" style="685" hidden="1" customWidth="1"/>
    <col min="3856" max="3856" width="25" style="685" customWidth="1"/>
    <col min="3857" max="3874" width="0" style="685" hidden="1" customWidth="1"/>
    <col min="3875" max="3875" width="7.6640625" style="685" customWidth="1"/>
    <col min="3876" max="3876" width="17.6640625" style="685" customWidth="1"/>
    <col min="3877" max="3877" width="19" style="685" customWidth="1"/>
    <col min="3878" max="3878" width="17.6640625" style="685" customWidth="1"/>
    <col min="3879" max="3879" width="14.6640625" style="685" customWidth="1"/>
    <col min="3880" max="3880" width="16" style="685" customWidth="1"/>
    <col min="3881" max="3881" width="15" style="685" customWidth="1"/>
    <col min="3882" max="3882" width="15.109375" style="685" customWidth="1"/>
    <col min="3883" max="3998" width="9.109375" style="685" customWidth="1"/>
    <col min="3999" max="4096" width="8.88671875" style="685"/>
    <col min="4097" max="4098" width="0" style="685" hidden="1" customWidth="1"/>
    <col min="4099" max="4099" width="6.6640625" style="685" customWidth="1"/>
    <col min="4100" max="4101" width="0" style="685" hidden="1" customWidth="1"/>
    <col min="4102" max="4102" width="1.88671875" style="685" customWidth="1"/>
    <col min="4103" max="4103" width="6.88671875" style="685" bestFit="1" customWidth="1"/>
    <col min="4104" max="4111" width="0" style="685" hidden="1" customWidth="1"/>
    <col min="4112" max="4112" width="25" style="685" customWidth="1"/>
    <col min="4113" max="4130" width="0" style="685" hidden="1" customWidth="1"/>
    <col min="4131" max="4131" width="7.6640625" style="685" customWidth="1"/>
    <col min="4132" max="4132" width="17.6640625" style="685" customWidth="1"/>
    <col min="4133" max="4133" width="19" style="685" customWidth="1"/>
    <col min="4134" max="4134" width="17.6640625" style="685" customWidth="1"/>
    <col min="4135" max="4135" width="14.6640625" style="685" customWidth="1"/>
    <col min="4136" max="4136" width="16" style="685" customWidth="1"/>
    <col min="4137" max="4137" width="15" style="685" customWidth="1"/>
    <col min="4138" max="4138" width="15.109375" style="685" customWidth="1"/>
    <col min="4139" max="4254" width="9.109375" style="685" customWidth="1"/>
    <col min="4255" max="4352" width="8.88671875" style="685"/>
    <col min="4353" max="4354" width="0" style="685" hidden="1" customWidth="1"/>
    <col min="4355" max="4355" width="6.6640625" style="685" customWidth="1"/>
    <col min="4356" max="4357" width="0" style="685" hidden="1" customWidth="1"/>
    <col min="4358" max="4358" width="1.88671875" style="685" customWidth="1"/>
    <col min="4359" max="4359" width="6.88671875" style="685" bestFit="1" customWidth="1"/>
    <col min="4360" max="4367" width="0" style="685" hidden="1" customWidth="1"/>
    <col min="4368" max="4368" width="25" style="685" customWidth="1"/>
    <col min="4369" max="4386" width="0" style="685" hidden="1" customWidth="1"/>
    <col min="4387" max="4387" width="7.6640625" style="685" customWidth="1"/>
    <col min="4388" max="4388" width="17.6640625" style="685" customWidth="1"/>
    <col min="4389" max="4389" width="19" style="685" customWidth="1"/>
    <col min="4390" max="4390" width="17.6640625" style="685" customWidth="1"/>
    <col min="4391" max="4391" width="14.6640625" style="685" customWidth="1"/>
    <col min="4392" max="4392" width="16" style="685" customWidth="1"/>
    <col min="4393" max="4393" width="15" style="685" customWidth="1"/>
    <col min="4394" max="4394" width="15.109375" style="685" customWidth="1"/>
    <col min="4395" max="4510" width="9.109375" style="685" customWidth="1"/>
    <col min="4511" max="4608" width="8.88671875" style="685"/>
    <col min="4609" max="4610" width="0" style="685" hidden="1" customWidth="1"/>
    <col min="4611" max="4611" width="6.6640625" style="685" customWidth="1"/>
    <col min="4612" max="4613" width="0" style="685" hidden="1" customWidth="1"/>
    <col min="4614" max="4614" width="1.88671875" style="685" customWidth="1"/>
    <col min="4615" max="4615" width="6.88671875" style="685" bestFit="1" customWidth="1"/>
    <col min="4616" max="4623" width="0" style="685" hidden="1" customWidth="1"/>
    <col min="4624" max="4624" width="25" style="685" customWidth="1"/>
    <col min="4625" max="4642" width="0" style="685" hidden="1" customWidth="1"/>
    <col min="4643" max="4643" width="7.6640625" style="685" customWidth="1"/>
    <col min="4644" max="4644" width="17.6640625" style="685" customWidth="1"/>
    <col min="4645" max="4645" width="19" style="685" customWidth="1"/>
    <col min="4646" max="4646" width="17.6640625" style="685" customWidth="1"/>
    <col min="4647" max="4647" width="14.6640625" style="685" customWidth="1"/>
    <col min="4648" max="4648" width="16" style="685" customWidth="1"/>
    <col min="4649" max="4649" width="15" style="685" customWidth="1"/>
    <col min="4650" max="4650" width="15.109375" style="685" customWidth="1"/>
    <col min="4651" max="4766" width="9.109375" style="685" customWidth="1"/>
    <col min="4767" max="4864" width="8.88671875" style="685"/>
    <col min="4865" max="4866" width="0" style="685" hidden="1" customWidth="1"/>
    <col min="4867" max="4867" width="6.6640625" style="685" customWidth="1"/>
    <col min="4868" max="4869" width="0" style="685" hidden="1" customWidth="1"/>
    <col min="4870" max="4870" width="1.88671875" style="685" customWidth="1"/>
    <col min="4871" max="4871" width="6.88671875" style="685" bestFit="1" customWidth="1"/>
    <col min="4872" max="4879" width="0" style="685" hidden="1" customWidth="1"/>
    <col min="4880" max="4880" width="25" style="685" customWidth="1"/>
    <col min="4881" max="4898" width="0" style="685" hidden="1" customWidth="1"/>
    <col min="4899" max="4899" width="7.6640625" style="685" customWidth="1"/>
    <col min="4900" max="4900" width="17.6640625" style="685" customWidth="1"/>
    <col min="4901" max="4901" width="19" style="685" customWidth="1"/>
    <col min="4902" max="4902" width="17.6640625" style="685" customWidth="1"/>
    <col min="4903" max="4903" width="14.6640625" style="685" customWidth="1"/>
    <col min="4904" max="4904" width="16" style="685" customWidth="1"/>
    <col min="4905" max="4905" width="15" style="685" customWidth="1"/>
    <col min="4906" max="4906" width="15.109375" style="685" customWidth="1"/>
    <col min="4907" max="5022" width="9.109375" style="685" customWidth="1"/>
    <col min="5023" max="5120" width="8.88671875" style="685"/>
    <col min="5121" max="5122" width="0" style="685" hidden="1" customWidth="1"/>
    <col min="5123" max="5123" width="6.6640625" style="685" customWidth="1"/>
    <col min="5124" max="5125" width="0" style="685" hidden="1" customWidth="1"/>
    <col min="5126" max="5126" width="1.88671875" style="685" customWidth="1"/>
    <col min="5127" max="5127" width="6.88671875" style="685" bestFit="1" customWidth="1"/>
    <col min="5128" max="5135" width="0" style="685" hidden="1" customWidth="1"/>
    <col min="5136" max="5136" width="25" style="685" customWidth="1"/>
    <col min="5137" max="5154" width="0" style="685" hidden="1" customWidth="1"/>
    <col min="5155" max="5155" width="7.6640625" style="685" customWidth="1"/>
    <col min="5156" max="5156" width="17.6640625" style="685" customWidth="1"/>
    <col min="5157" max="5157" width="19" style="685" customWidth="1"/>
    <col min="5158" max="5158" width="17.6640625" style="685" customWidth="1"/>
    <col min="5159" max="5159" width="14.6640625" style="685" customWidth="1"/>
    <col min="5160" max="5160" width="16" style="685" customWidth="1"/>
    <col min="5161" max="5161" width="15" style="685" customWidth="1"/>
    <col min="5162" max="5162" width="15.109375" style="685" customWidth="1"/>
    <col min="5163" max="5278" width="9.109375" style="685" customWidth="1"/>
    <col min="5279" max="5376" width="8.88671875" style="685"/>
    <col min="5377" max="5378" width="0" style="685" hidden="1" customWidth="1"/>
    <col min="5379" max="5379" width="6.6640625" style="685" customWidth="1"/>
    <col min="5380" max="5381" width="0" style="685" hidden="1" customWidth="1"/>
    <col min="5382" max="5382" width="1.88671875" style="685" customWidth="1"/>
    <col min="5383" max="5383" width="6.88671875" style="685" bestFit="1" customWidth="1"/>
    <col min="5384" max="5391" width="0" style="685" hidden="1" customWidth="1"/>
    <col min="5392" max="5392" width="25" style="685" customWidth="1"/>
    <col min="5393" max="5410" width="0" style="685" hidden="1" customWidth="1"/>
    <col min="5411" max="5411" width="7.6640625" style="685" customWidth="1"/>
    <col min="5412" max="5412" width="17.6640625" style="685" customWidth="1"/>
    <col min="5413" max="5413" width="19" style="685" customWidth="1"/>
    <col min="5414" max="5414" width="17.6640625" style="685" customWidth="1"/>
    <col min="5415" max="5415" width="14.6640625" style="685" customWidth="1"/>
    <col min="5416" max="5416" width="16" style="685" customWidth="1"/>
    <col min="5417" max="5417" width="15" style="685" customWidth="1"/>
    <col min="5418" max="5418" width="15.109375" style="685" customWidth="1"/>
    <col min="5419" max="5534" width="9.109375" style="685" customWidth="1"/>
    <col min="5535" max="5632" width="8.88671875" style="685"/>
    <col min="5633" max="5634" width="0" style="685" hidden="1" customWidth="1"/>
    <col min="5635" max="5635" width="6.6640625" style="685" customWidth="1"/>
    <col min="5636" max="5637" width="0" style="685" hidden="1" customWidth="1"/>
    <col min="5638" max="5638" width="1.88671875" style="685" customWidth="1"/>
    <col min="5639" max="5639" width="6.88671875" style="685" bestFit="1" customWidth="1"/>
    <col min="5640" max="5647" width="0" style="685" hidden="1" customWidth="1"/>
    <col min="5648" max="5648" width="25" style="685" customWidth="1"/>
    <col min="5649" max="5666" width="0" style="685" hidden="1" customWidth="1"/>
    <col min="5667" max="5667" width="7.6640625" style="685" customWidth="1"/>
    <col min="5668" max="5668" width="17.6640625" style="685" customWidth="1"/>
    <col min="5669" max="5669" width="19" style="685" customWidth="1"/>
    <col min="5670" max="5670" width="17.6640625" style="685" customWidth="1"/>
    <col min="5671" max="5671" width="14.6640625" style="685" customWidth="1"/>
    <col min="5672" max="5672" width="16" style="685" customWidth="1"/>
    <col min="5673" max="5673" width="15" style="685" customWidth="1"/>
    <col min="5674" max="5674" width="15.109375" style="685" customWidth="1"/>
    <col min="5675" max="5790" width="9.109375" style="685" customWidth="1"/>
    <col min="5791" max="5888" width="8.88671875" style="685"/>
    <col min="5889" max="5890" width="0" style="685" hidden="1" customWidth="1"/>
    <col min="5891" max="5891" width="6.6640625" style="685" customWidth="1"/>
    <col min="5892" max="5893" width="0" style="685" hidden="1" customWidth="1"/>
    <col min="5894" max="5894" width="1.88671875" style="685" customWidth="1"/>
    <col min="5895" max="5895" width="6.88671875" style="685" bestFit="1" customWidth="1"/>
    <col min="5896" max="5903" width="0" style="685" hidden="1" customWidth="1"/>
    <col min="5904" max="5904" width="25" style="685" customWidth="1"/>
    <col min="5905" max="5922" width="0" style="685" hidden="1" customWidth="1"/>
    <col min="5923" max="5923" width="7.6640625" style="685" customWidth="1"/>
    <col min="5924" max="5924" width="17.6640625" style="685" customWidth="1"/>
    <col min="5925" max="5925" width="19" style="685" customWidth="1"/>
    <col min="5926" max="5926" width="17.6640625" style="685" customWidth="1"/>
    <col min="5927" max="5927" width="14.6640625" style="685" customWidth="1"/>
    <col min="5928" max="5928" width="16" style="685" customWidth="1"/>
    <col min="5929" max="5929" width="15" style="685" customWidth="1"/>
    <col min="5930" max="5930" width="15.109375" style="685" customWidth="1"/>
    <col min="5931" max="6046" width="9.109375" style="685" customWidth="1"/>
    <col min="6047" max="6144" width="8.88671875" style="685"/>
    <col min="6145" max="6146" width="0" style="685" hidden="1" customWidth="1"/>
    <col min="6147" max="6147" width="6.6640625" style="685" customWidth="1"/>
    <col min="6148" max="6149" width="0" style="685" hidden="1" customWidth="1"/>
    <col min="6150" max="6150" width="1.88671875" style="685" customWidth="1"/>
    <col min="6151" max="6151" width="6.88671875" style="685" bestFit="1" customWidth="1"/>
    <col min="6152" max="6159" width="0" style="685" hidden="1" customWidth="1"/>
    <col min="6160" max="6160" width="25" style="685" customWidth="1"/>
    <col min="6161" max="6178" width="0" style="685" hidden="1" customWidth="1"/>
    <col min="6179" max="6179" width="7.6640625" style="685" customWidth="1"/>
    <col min="6180" max="6180" width="17.6640625" style="685" customWidth="1"/>
    <col min="6181" max="6181" width="19" style="685" customWidth="1"/>
    <col min="6182" max="6182" width="17.6640625" style="685" customWidth="1"/>
    <col min="6183" max="6183" width="14.6640625" style="685" customWidth="1"/>
    <col min="6184" max="6184" width="16" style="685" customWidth="1"/>
    <col min="6185" max="6185" width="15" style="685" customWidth="1"/>
    <col min="6186" max="6186" width="15.109375" style="685" customWidth="1"/>
    <col min="6187" max="6302" width="9.109375" style="685" customWidth="1"/>
    <col min="6303" max="6400" width="8.88671875" style="685"/>
    <col min="6401" max="6402" width="0" style="685" hidden="1" customWidth="1"/>
    <col min="6403" max="6403" width="6.6640625" style="685" customWidth="1"/>
    <col min="6404" max="6405" width="0" style="685" hidden="1" customWidth="1"/>
    <col min="6406" max="6406" width="1.88671875" style="685" customWidth="1"/>
    <col min="6407" max="6407" width="6.88671875" style="685" bestFit="1" customWidth="1"/>
    <col min="6408" max="6415" width="0" style="685" hidden="1" customWidth="1"/>
    <col min="6416" max="6416" width="25" style="685" customWidth="1"/>
    <col min="6417" max="6434" width="0" style="685" hidden="1" customWidth="1"/>
    <col min="6435" max="6435" width="7.6640625" style="685" customWidth="1"/>
    <col min="6436" max="6436" width="17.6640625" style="685" customWidth="1"/>
    <col min="6437" max="6437" width="19" style="685" customWidth="1"/>
    <col min="6438" max="6438" width="17.6640625" style="685" customWidth="1"/>
    <col min="6439" max="6439" width="14.6640625" style="685" customWidth="1"/>
    <col min="6440" max="6440" width="16" style="685" customWidth="1"/>
    <col min="6441" max="6441" width="15" style="685" customWidth="1"/>
    <col min="6442" max="6442" width="15.109375" style="685" customWidth="1"/>
    <col min="6443" max="6558" width="9.109375" style="685" customWidth="1"/>
    <col min="6559" max="6656" width="8.88671875" style="685"/>
    <col min="6657" max="6658" width="0" style="685" hidden="1" customWidth="1"/>
    <col min="6659" max="6659" width="6.6640625" style="685" customWidth="1"/>
    <col min="6660" max="6661" width="0" style="685" hidden="1" customWidth="1"/>
    <col min="6662" max="6662" width="1.88671875" style="685" customWidth="1"/>
    <col min="6663" max="6663" width="6.88671875" style="685" bestFit="1" customWidth="1"/>
    <col min="6664" max="6671" width="0" style="685" hidden="1" customWidth="1"/>
    <col min="6672" max="6672" width="25" style="685" customWidth="1"/>
    <col min="6673" max="6690" width="0" style="685" hidden="1" customWidth="1"/>
    <col min="6691" max="6691" width="7.6640625" style="685" customWidth="1"/>
    <col min="6692" max="6692" width="17.6640625" style="685" customWidth="1"/>
    <col min="6693" max="6693" width="19" style="685" customWidth="1"/>
    <col min="6694" max="6694" width="17.6640625" style="685" customWidth="1"/>
    <col min="6695" max="6695" width="14.6640625" style="685" customWidth="1"/>
    <col min="6696" max="6696" width="16" style="685" customWidth="1"/>
    <col min="6697" max="6697" width="15" style="685" customWidth="1"/>
    <col min="6698" max="6698" width="15.109375" style="685" customWidth="1"/>
    <col min="6699" max="6814" width="9.109375" style="685" customWidth="1"/>
    <col min="6815" max="6912" width="8.88671875" style="685"/>
    <col min="6913" max="6914" width="0" style="685" hidden="1" customWidth="1"/>
    <col min="6915" max="6915" width="6.6640625" style="685" customWidth="1"/>
    <col min="6916" max="6917" width="0" style="685" hidden="1" customWidth="1"/>
    <col min="6918" max="6918" width="1.88671875" style="685" customWidth="1"/>
    <col min="6919" max="6919" width="6.88671875" style="685" bestFit="1" customWidth="1"/>
    <col min="6920" max="6927" width="0" style="685" hidden="1" customWidth="1"/>
    <col min="6928" max="6928" width="25" style="685" customWidth="1"/>
    <col min="6929" max="6946" width="0" style="685" hidden="1" customWidth="1"/>
    <col min="6947" max="6947" width="7.6640625" style="685" customWidth="1"/>
    <col min="6948" max="6948" width="17.6640625" style="685" customWidth="1"/>
    <col min="6949" max="6949" width="19" style="685" customWidth="1"/>
    <col min="6950" max="6950" width="17.6640625" style="685" customWidth="1"/>
    <col min="6951" max="6951" width="14.6640625" style="685" customWidth="1"/>
    <col min="6952" max="6952" width="16" style="685" customWidth="1"/>
    <col min="6953" max="6953" width="15" style="685" customWidth="1"/>
    <col min="6954" max="6954" width="15.109375" style="685" customWidth="1"/>
    <col min="6955" max="7070" width="9.109375" style="685" customWidth="1"/>
    <col min="7071" max="7168" width="8.88671875" style="685"/>
    <col min="7169" max="7170" width="0" style="685" hidden="1" customWidth="1"/>
    <col min="7171" max="7171" width="6.6640625" style="685" customWidth="1"/>
    <col min="7172" max="7173" width="0" style="685" hidden="1" customWidth="1"/>
    <col min="7174" max="7174" width="1.88671875" style="685" customWidth="1"/>
    <col min="7175" max="7175" width="6.88671875" style="685" bestFit="1" customWidth="1"/>
    <col min="7176" max="7183" width="0" style="685" hidden="1" customWidth="1"/>
    <col min="7184" max="7184" width="25" style="685" customWidth="1"/>
    <col min="7185" max="7202" width="0" style="685" hidden="1" customWidth="1"/>
    <col min="7203" max="7203" width="7.6640625" style="685" customWidth="1"/>
    <col min="7204" max="7204" width="17.6640625" style="685" customWidth="1"/>
    <col min="7205" max="7205" width="19" style="685" customWidth="1"/>
    <col min="7206" max="7206" width="17.6640625" style="685" customWidth="1"/>
    <col min="7207" max="7207" width="14.6640625" style="685" customWidth="1"/>
    <col min="7208" max="7208" width="16" style="685" customWidth="1"/>
    <col min="7209" max="7209" width="15" style="685" customWidth="1"/>
    <col min="7210" max="7210" width="15.109375" style="685" customWidth="1"/>
    <col min="7211" max="7326" width="9.109375" style="685" customWidth="1"/>
    <col min="7327" max="7424" width="8.88671875" style="685"/>
    <col min="7425" max="7426" width="0" style="685" hidden="1" customWidth="1"/>
    <col min="7427" max="7427" width="6.6640625" style="685" customWidth="1"/>
    <col min="7428" max="7429" width="0" style="685" hidden="1" customWidth="1"/>
    <col min="7430" max="7430" width="1.88671875" style="685" customWidth="1"/>
    <col min="7431" max="7431" width="6.88671875" style="685" bestFit="1" customWidth="1"/>
    <col min="7432" max="7439" width="0" style="685" hidden="1" customWidth="1"/>
    <col min="7440" max="7440" width="25" style="685" customWidth="1"/>
    <col min="7441" max="7458" width="0" style="685" hidden="1" customWidth="1"/>
    <col min="7459" max="7459" width="7.6640625" style="685" customWidth="1"/>
    <col min="7460" max="7460" width="17.6640625" style="685" customWidth="1"/>
    <col min="7461" max="7461" width="19" style="685" customWidth="1"/>
    <col min="7462" max="7462" width="17.6640625" style="685" customWidth="1"/>
    <col min="7463" max="7463" width="14.6640625" style="685" customWidth="1"/>
    <col min="7464" max="7464" width="16" style="685" customWidth="1"/>
    <col min="7465" max="7465" width="15" style="685" customWidth="1"/>
    <col min="7466" max="7466" width="15.109375" style="685" customWidth="1"/>
    <col min="7467" max="7582" width="9.109375" style="685" customWidth="1"/>
    <col min="7583" max="7680" width="8.88671875" style="685"/>
    <col min="7681" max="7682" width="0" style="685" hidden="1" customWidth="1"/>
    <col min="7683" max="7683" width="6.6640625" style="685" customWidth="1"/>
    <col min="7684" max="7685" width="0" style="685" hidden="1" customWidth="1"/>
    <col min="7686" max="7686" width="1.88671875" style="685" customWidth="1"/>
    <col min="7687" max="7687" width="6.88671875" style="685" bestFit="1" customWidth="1"/>
    <col min="7688" max="7695" width="0" style="685" hidden="1" customWidth="1"/>
    <col min="7696" max="7696" width="25" style="685" customWidth="1"/>
    <col min="7697" max="7714" width="0" style="685" hidden="1" customWidth="1"/>
    <col min="7715" max="7715" width="7.6640625" style="685" customWidth="1"/>
    <col min="7716" max="7716" width="17.6640625" style="685" customWidth="1"/>
    <col min="7717" max="7717" width="19" style="685" customWidth="1"/>
    <col min="7718" max="7718" width="17.6640625" style="685" customWidth="1"/>
    <col min="7719" max="7719" width="14.6640625" style="685" customWidth="1"/>
    <col min="7720" max="7720" width="16" style="685" customWidth="1"/>
    <col min="7721" max="7721" width="15" style="685" customWidth="1"/>
    <col min="7722" max="7722" width="15.109375" style="685" customWidth="1"/>
    <col min="7723" max="7838" width="9.109375" style="685" customWidth="1"/>
    <col min="7839" max="7936" width="8.88671875" style="685"/>
    <col min="7937" max="7938" width="0" style="685" hidden="1" customWidth="1"/>
    <col min="7939" max="7939" width="6.6640625" style="685" customWidth="1"/>
    <col min="7940" max="7941" width="0" style="685" hidden="1" customWidth="1"/>
    <col min="7942" max="7942" width="1.88671875" style="685" customWidth="1"/>
    <col min="7943" max="7943" width="6.88671875" style="685" bestFit="1" customWidth="1"/>
    <col min="7944" max="7951" width="0" style="685" hidden="1" customWidth="1"/>
    <col min="7952" max="7952" width="25" style="685" customWidth="1"/>
    <col min="7953" max="7970" width="0" style="685" hidden="1" customWidth="1"/>
    <col min="7971" max="7971" width="7.6640625" style="685" customWidth="1"/>
    <col min="7972" max="7972" width="17.6640625" style="685" customWidth="1"/>
    <col min="7973" max="7973" width="19" style="685" customWidth="1"/>
    <col min="7974" max="7974" width="17.6640625" style="685" customWidth="1"/>
    <col min="7975" max="7975" width="14.6640625" style="685" customWidth="1"/>
    <col min="7976" max="7976" width="16" style="685" customWidth="1"/>
    <col min="7977" max="7977" width="15" style="685" customWidth="1"/>
    <col min="7978" max="7978" width="15.109375" style="685" customWidth="1"/>
    <col min="7979" max="8094" width="9.109375" style="685" customWidth="1"/>
    <col min="8095" max="8192" width="8.88671875" style="685"/>
    <col min="8193" max="8194" width="0" style="685" hidden="1" customWidth="1"/>
    <col min="8195" max="8195" width="6.6640625" style="685" customWidth="1"/>
    <col min="8196" max="8197" width="0" style="685" hidden="1" customWidth="1"/>
    <col min="8198" max="8198" width="1.88671875" style="685" customWidth="1"/>
    <col min="8199" max="8199" width="6.88671875" style="685" bestFit="1" customWidth="1"/>
    <col min="8200" max="8207" width="0" style="685" hidden="1" customWidth="1"/>
    <col min="8208" max="8208" width="25" style="685" customWidth="1"/>
    <col min="8209" max="8226" width="0" style="685" hidden="1" customWidth="1"/>
    <col min="8227" max="8227" width="7.6640625" style="685" customWidth="1"/>
    <col min="8228" max="8228" width="17.6640625" style="685" customWidth="1"/>
    <col min="8229" max="8229" width="19" style="685" customWidth="1"/>
    <col min="8230" max="8230" width="17.6640625" style="685" customWidth="1"/>
    <col min="8231" max="8231" width="14.6640625" style="685" customWidth="1"/>
    <col min="8232" max="8232" width="16" style="685" customWidth="1"/>
    <col min="8233" max="8233" width="15" style="685" customWidth="1"/>
    <col min="8234" max="8234" width="15.109375" style="685" customWidth="1"/>
    <col min="8235" max="8350" width="9.109375" style="685" customWidth="1"/>
    <col min="8351" max="8448" width="8.88671875" style="685"/>
    <col min="8449" max="8450" width="0" style="685" hidden="1" customWidth="1"/>
    <col min="8451" max="8451" width="6.6640625" style="685" customWidth="1"/>
    <col min="8452" max="8453" width="0" style="685" hidden="1" customWidth="1"/>
    <col min="8454" max="8454" width="1.88671875" style="685" customWidth="1"/>
    <col min="8455" max="8455" width="6.88671875" style="685" bestFit="1" customWidth="1"/>
    <col min="8456" max="8463" width="0" style="685" hidden="1" customWidth="1"/>
    <col min="8464" max="8464" width="25" style="685" customWidth="1"/>
    <col min="8465" max="8482" width="0" style="685" hidden="1" customWidth="1"/>
    <col min="8483" max="8483" width="7.6640625" style="685" customWidth="1"/>
    <col min="8484" max="8484" width="17.6640625" style="685" customWidth="1"/>
    <col min="8485" max="8485" width="19" style="685" customWidth="1"/>
    <col min="8486" max="8486" width="17.6640625" style="685" customWidth="1"/>
    <col min="8487" max="8487" width="14.6640625" style="685" customWidth="1"/>
    <col min="8488" max="8488" width="16" style="685" customWidth="1"/>
    <col min="8489" max="8489" width="15" style="685" customWidth="1"/>
    <col min="8490" max="8490" width="15.109375" style="685" customWidth="1"/>
    <col min="8491" max="8606" width="9.109375" style="685" customWidth="1"/>
    <col min="8607" max="8704" width="8.88671875" style="685"/>
    <col min="8705" max="8706" width="0" style="685" hidden="1" customWidth="1"/>
    <col min="8707" max="8707" width="6.6640625" style="685" customWidth="1"/>
    <col min="8708" max="8709" width="0" style="685" hidden="1" customWidth="1"/>
    <col min="8710" max="8710" width="1.88671875" style="685" customWidth="1"/>
    <col min="8711" max="8711" width="6.88671875" style="685" bestFit="1" customWidth="1"/>
    <col min="8712" max="8719" width="0" style="685" hidden="1" customWidth="1"/>
    <col min="8720" max="8720" width="25" style="685" customWidth="1"/>
    <col min="8721" max="8738" width="0" style="685" hidden="1" customWidth="1"/>
    <col min="8739" max="8739" width="7.6640625" style="685" customWidth="1"/>
    <col min="8740" max="8740" width="17.6640625" style="685" customWidth="1"/>
    <col min="8741" max="8741" width="19" style="685" customWidth="1"/>
    <col min="8742" max="8742" width="17.6640625" style="685" customWidth="1"/>
    <col min="8743" max="8743" width="14.6640625" style="685" customWidth="1"/>
    <col min="8744" max="8744" width="16" style="685" customWidth="1"/>
    <col min="8745" max="8745" width="15" style="685" customWidth="1"/>
    <col min="8746" max="8746" width="15.109375" style="685" customWidth="1"/>
    <col min="8747" max="8862" width="9.109375" style="685" customWidth="1"/>
    <col min="8863" max="8960" width="8.88671875" style="685"/>
    <col min="8961" max="8962" width="0" style="685" hidden="1" customWidth="1"/>
    <col min="8963" max="8963" width="6.6640625" style="685" customWidth="1"/>
    <col min="8964" max="8965" width="0" style="685" hidden="1" customWidth="1"/>
    <col min="8966" max="8966" width="1.88671875" style="685" customWidth="1"/>
    <col min="8967" max="8967" width="6.88671875" style="685" bestFit="1" customWidth="1"/>
    <col min="8968" max="8975" width="0" style="685" hidden="1" customWidth="1"/>
    <col min="8976" max="8976" width="25" style="685" customWidth="1"/>
    <col min="8977" max="8994" width="0" style="685" hidden="1" customWidth="1"/>
    <col min="8995" max="8995" width="7.6640625" style="685" customWidth="1"/>
    <col min="8996" max="8996" width="17.6640625" style="685" customWidth="1"/>
    <col min="8997" max="8997" width="19" style="685" customWidth="1"/>
    <col min="8998" max="8998" width="17.6640625" style="685" customWidth="1"/>
    <col min="8999" max="8999" width="14.6640625" style="685" customWidth="1"/>
    <col min="9000" max="9000" width="16" style="685" customWidth="1"/>
    <col min="9001" max="9001" width="15" style="685" customWidth="1"/>
    <col min="9002" max="9002" width="15.109375" style="685" customWidth="1"/>
    <col min="9003" max="9118" width="9.109375" style="685" customWidth="1"/>
    <col min="9119" max="9216" width="8.88671875" style="685"/>
    <col min="9217" max="9218" width="0" style="685" hidden="1" customWidth="1"/>
    <col min="9219" max="9219" width="6.6640625" style="685" customWidth="1"/>
    <col min="9220" max="9221" width="0" style="685" hidden="1" customWidth="1"/>
    <col min="9222" max="9222" width="1.88671875" style="685" customWidth="1"/>
    <col min="9223" max="9223" width="6.88671875" style="685" bestFit="1" customWidth="1"/>
    <col min="9224" max="9231" width="0" style="685" hidden="1" customWidth="1"/>
    <col min="9232" max="9232" width="25" style="685" customWidth="1"/>
    <col min="9233" max="9250" width="0" style="685" hidden="1" customWidth="1"/>
    <col min="9251" max="9251" width="7.6640625" style="685" customWidth="1"/>
    <col min="9252" max="9252" width="17.6640625" style="685" customWidth="1"/>
    <col min="9253" max="9253" width="19" style="685" customWidth="1"/>
    <col min="9254" max="9254" width="17.6640625" style="685" customWidth="1"/>
    <col min="9255" max="9255" width="14.6640625" style="685" customWidth="1"/>
    <col min="9256" max="9256" width="16" style="685" customWidth="1"/>
    <col min="9257" max="9257" width="15" style="685" customWidth="1"/>
    <col min="9258" max="9258" width="15.109375" style="685" customWidth="1"/>
    <col min="9259" max="9374" width="9.109375" style="685" customWidth="1"/>
    <col min="9375" max="9472" width="8.88671875" style="685"/>
    <col min="9473" max="9474" width="0" style="685" hidden="1" customWidth="1"/>
    <col min="9475" max="9475" width="6.6640625" style="685" customWidth="1"/>
    <col min="9476" max="9477" width="0" style="685" hidden="1" customWidth="1"/>
    <col min="9478" max="9478" width="1.88671875" style="685" customWidth="1"/>
    <col min="9479" max="9479" width="6.88671875" style="685" bestFit="1" customWidth="1"/>
    <col min="9480" max="9487" width="0" style="685" hidden="1" customWidth="1"/>
    <col min="9488" max="9488" width="25" style="685" customWidth="1"/>
    <col min="9489" max="9506" width="0" style="685" hidden="1" customWidth="1"/>
    <col min="9507" max="9507" width="7.6640625" style="685" customWidth="1"/>
    <col min="9508" max="9508" width="17.6640625" style="685" customWidth="1"/>
    <col min="9509" max="9509" width="19" style="685" customWidth="1"/>
    <col min="9510" max="9510" width="17.6640625" style="685" customWidth="1"/>
    <col min="9511" max="9511" width="14.6640625" style="685" customWidth="1"/>
    <col min="9512" max="9512" width="16" style="685" customWidth="1"/>
    <col min="9513" max="9513" width="15" style="685" customWidth="1"/>
    <col min="9514" max="9514" width="15.109375" style="685" customWidth="1"/>
    <col min="9515" max="9630" width="9.109375" style="685" customWidth="1"/>
    <col min="9631" max="9728" width="8.88671875" style="685"/>
    <col min="9729" max="9730" width="0" style="685" hidden="1" customWidth="1"/>
    <col min="9731" max="9731" width="6.6640625" style="685" customWidth="1"/>
    <col min="9732" max="9733" width="0" style="685" hidden="1" customWidth="1"/>
    <col min="9734" max="9734" width="1.88671875" style="685" customWidth="1"/>
    <col min="9735" max="9735" width="6.88671875" style="685" bestFit="1" customWidth="1"/>
    <col min="9736" max="9743" width="0" style="685" hidden="1" customWidth="1"/>
    <col min="9744" max="9744" width="25" style="685" customWidth="1"/>
    <col min="9745" max="9762" width="0" style="685" hidden="1" customWidth="1"/>
    <col min="9763" max="9763" width="7.6640625" style="685" customWidth="1"/>
    <col min="9764" max="9764" width="17.6640625" style="685" customWidth="1"/>
    <col min="9765" max="9765" width="19" style="685" customWidth="1"/>
    <col min="9766" max="9766" width="17.6640625" style="685" customWidth="1"/>
    <col min="9767" max="9767" width="14.6640625" style="685" customWidth="1"/>
    <col min="9768" max="9768" width="16" style="685" customWidth="1"/>
    <col min="9769" max="9769" width="15" style="685" customWidth="1"/>
    <col min="9770" max="9770" width="15.109375" style="685" customWidth="1"/>
    <col min="9771" max="9886" width="9.109375" style="685" customWidth="1"/>
    <col min="9887" max="9984" width="8.88671875" style="685"/>
    <col min="9985" max="9986" width="0" style="685" hidden="1" customWidth="1"/>
    <col min="9987" max="9987" width="6.6640625" style="685" customWidth="1"/>
    <col min="9988" max="9989" width="0" style="685" hidden="1" customWidth="1"/>
    <col min="9990" max="9990" width="1.88671875" style="685" customWidth="1"/>
    <col min="9991" max="9991" width="6.88671875" style="685" bestFit="1" customWidth="1"/>
    <col min="9992" max="9999" width="0" style="685" hidden="1" customWidth="1"/>
    <col min="10000" max="10000" width="25" style="685" customWidth="1"/>
    <col min="10001" max="10018" width="0" style="685" hidden="1" customWidth="1"/>
    <col min="10019" max="10019" width="7.6640625" style="685" customWidth="1"/>
    <col min="10020" max="10020" width="17.6640625" style="685" customWidth="1"/>
    <col min="10021" max="10021" width="19" style="685" customWidth="1"/>
    <col min="10022" max="10022" width="17.6640625" style="685" customWidth="1"/>
    <col min="10023" max="10023" width="14.6640625" style="685" customWidth="1"/>
    <col min="10024" max="10024" width="16" style="685" customWidth="1"/>
    <col min="10025" max="10025" width="15" style="685" customWidth="1"/>
    <col min="10026" max="10026" width="15.109375" style="685" customWidth="1"/>
    <col min="10027" max="10142" width="9.109375" style="685" customWidth="1"/>
    <col min="10143" max="10240" width="8.88671875" style="685"/>
    <col min="10241" max="10242" width="0" style="685" hidden="1" customWidth="1"/>
    <col min="10243" max="10243" width="6.6640625" style="685" customWidth="1"/>
    <col min="10244" max="10245" width="0" style="685" hidden="1" customWidth="1"/>
    <col min="10246" max="10246" width="1.88671875" style="685" customWidth="1"/>
    <col min="10247" max="10247" width="6.88671875" style="685" bestFit="1" customWidth="1"/>
    <col min="10248" max="10255" width="0" style="685" hidden="1" customWidth="1"/>
    <col min="10256" max="10256" width="25" style="685" customWidth="1"/>
    <col min="10257" max="10274" width="0" style="685" hidden="1" customWidth="1"/>
    <col min="10275" max="10275" width="7.6640625" style="685" customWidth="1"/>
    <col min="10276" max="10276" width="17.6640625" style="685" customWidth="1"/>
    <col min="10277" max="10277" width="19" style="685" customWidth="1"/>
    <col min="10278" max="10278" width="17.6640625" style="685" customWidth="1"/>
    <col min="10279" max="10279" width="14.6640625" style="685" customWidth="1"/>
    <col min="10280" max="10280" width="16" style="685" customWidth="1"/>
    <col min="10281" max="10281" width="15" style="685" customWidth="1"/>
    <col min="10282" max="10282" width="15.109375" style="685" customWidth="1"/>
    <col min="10283" max="10398" width="9.109375" style="685" customWidth="1"/>
    <col min="10399" max="10496" width="8.88671875" style="685"/>
    <col min="10497" max="10498" width="0" style="685" hidden="1" customWidth="1"/>
    <col min="10499" max="10499" width="6.6640625" style="685" customWidth="1"/>
    <col min="10500" max="10501" width="0" style="685" hidden="1" customWidth="1"/>
    <col min="10502" max="10502" width="1.88671875" style="685" customWidth="1"/>
    <col min="10503" max="10503" width="6.88671875" style="685" bestFit="1" customWidth="1"/>
    <col min="10504" max="10511" width="0" style="685" hidden="1" customWidth="1"/>
    <col min="10512" max="10512" width="25" style="685" customWidth="1"/>
    <col min="10513" max="10530" width="0" style="685" hidden="1" customWidth="1"/>
    <col min="10531" max="10531" width="7.6640625" style="685" customWidth="1"/>
    <col min="10532" max="10532" width="17.6640625" style="685" customWidth="1"/>
    <col min="10533" max="10533" width="19" style="685" customWidth="1"/>
    <col min="10534" max="10534" width="17.6640625" style="685" customWidth="1"/>
    <col min="10535" max="10535" width="14.6640625" style="685" customWidth="1"/>
    <col min="10536" max="10536" width="16" style="685" customWidth="1"/>
    <col min="10537" max="10537" width="15" style="685" customWidth="1"/>
    <col min="10538" max="10538" width="15.109375" style="685" customWidth="1"/>
    <col min="10539" max="10654" width="9.109375" style="685" customWidth="1"/>
    <col min="10655" max="10752" width="8.88671875" style="685"/>
    <col min="10753" max="10754" width="0" style="685" hidden="1" customWidth="1"/>
    <col min="10755" max="10755" width="6.6640625" style="685" customWidth="1"/>
    <col min="10756" max="10757" width="0" style="685" hidden="1" customWidth="1"/>
    <col min="10758" max="10758" width="1.88671875" style="685" customWidth="1"/>
    <col min="10759" max="10759" width="6.88671875" style="685" bestFit="1" customWidth="1"/>
    <col min="10760" max="10767" width="0" style="685" hidden="1" customWidth="1"/>
    <col min="10768" max="10768" width="25" style="685" customWidth="1"/>
    <col min="10769" max="10786" width="0" style="685" hidden="1" customWidth="1"/>
    <col min="10787" max="10787" width="7.6640625" style="685" customWidth="1"/>
    <col min="10788" max="10788" width="17.6640625" style="685" customWidth="1"/>
    <col min="10789" max="10789" width="19" style="685" customWidth="1"/>
    <col min="10790" max="10790" width="17.6640625" style="685" customWidth="1"/>
    <col min="10791" max="10791" width="14.6640625" style="685" customWidth="1"/>
    <col min="10792" max="10792" width="16" style="685" customWidth="1"/>
    <col min="10793" max="10793" width="15" style="685" customWidth="1"/>
    <col min="10794" max="10794" width="15.109375" style="685" customWidth="1"/>
    <col min="10795" max="10910" width="9.109375" style="685" customWidth="1"/>
    <col min="10911" max="11008" width="8.88671875" style="685"/>
    <col min="11009" max="11010" width="0" style="685" hidden="1" customWidth="1"/>
    <col min="11011" max="11011" width="6.6640625" style="685" customWidth="1"/>
    <col min="11012" max="11013" width="0" style="685" hidden="1" customWidth="1"/>
    <col min="11014" max="11014" width="1.88671875" style="685" customWidth="1"/>
    <col min="11015" max="11015" width="6.88671875" style="685" bestFit="1" customWidth="1"/>
    <col min="11016" max="11023" width="0" style="685" hidden="1" customWidth="1"/>
    <col min="11024" max="11024" width="25" style="685" customWidth="1"/>
    <col min="11025" max="11042" width="0" style="685" hidden="1" customWidth="1"/>
    <col min="11043" max="11043" width="7.6640625" style="685" customWidth="1"/>
    <col min="11044" max="11044" width="17.6640625" style="685" customWidth="1"/>
    <col min="11045" max="11045" width="19" style="685" customWidth="1"/>
    <col min="11046" max="11046" width="17.6640625" style="685" customWidth="1"/>
    <col min="11047" max="11047" width="14.6640625" style="685" customWidth="1"/>
    <col min="11048" max="11048" width="16" style="685" customWidth="1"/>
    <col min="11049" max="11049" width="15" style="685" customWidth="1"/>
    <col min="11050" max="11050" width="15.109375" style="685" customWidth="1"/>
    <col min="11051" max="11166" width="9.109375" style="685" customWidth="1"/>
    <col min="11167" max="11264" width="8.88671875" style="685"/>
    <col min="11265" max="11266" width="0" style="685" hidden="1" customWidth="1"/>
    <col min="11267" max="11267" width="6.6640625" style="685" customWidth="1"/>
    <col min="11268" max="11269" width="0" style="685" hidden="1" customWidth="1"/>
    <col min="11270" max="11270" width="1.88671875" style="685" customWidth="1"/>
    <col min="11271" max="11271" width="6.88671875" style="685" bestFit="1" customWidth="1"/>
    <col min="11272" max="11279" width="0" style="685" hidden="1" customWidth="1"/>
    <col min="11280" max="11280" width="25" style="685" customWidth="1"/>
    <col min="11281" max="11298" width="0" style="685" hidden="1" customWidth="1"/>
    <col min="11299" max="11299" width="7.6640625" style="685" customWidth="1"/>
    <col min="11300" max="11300" width="17.6640625" style="685" customWidth="1"/>
    <col min="11301" max="11301" width="19" style="685" customWidth="1"/>
    <col min="11302" max="11302" width="17.6640625" style="685" customWidth="1"/>
    <col min="11303" max="11303" width="14.6640625" style="685" customWidth="1"/>
    <col min="11304" max="11304" width="16" style="685" customWidth="1"/>
    <col min="11305" max="11305" width="15" style="685" customWidth="1"/>
    <col min="11306" max="11306" width="15.109375" style="685" customWidth="1"/>
    <col min="11307" max="11422" width="9.109375" style="685" customWidth="1"/>
    <col min="11423" max="11520" width="8.88671875" style="685"/>
    <col min="11521" max="11522" width="0" style="685" hidden="1" customWidth="1"/>
    <col min="11523" max="11523" width="6.6640625" style="685" customWidth="1"/>
    <col min="11524" max="11525" width="0" style="685" hidden="1" customWidth="1"/>
    <col min="11526" max="11526" width="1.88671875" style="685" customWidth="1"/>
    <col min="11527" max="11527" width="6.88671875" style="685" bestFit="1" customWidth="1"/>
    <col min="11528" max="11535" width="0" style="685" hidden="1" customWidth="1"/>
    <col min="11536" max="11536" width="25" style="685" customWidth="1"/>
    <col min="11537" max="11554" width="0" style="685" hidden="1" customWidth="1"/>
    <col min="11555" max="11555" width="7.6640625" style="685" customWidth="1"/>
    <col min="11556" max="11556" width="17.6640625" style="685" customWidth="1"/>
    <col min="11557" max="11557" width="19" style="685" customWidth="1"/>
    <col min="11558" max="11558" width="17.6640625" style="685" customWidth="1"/>
    <col min="11559" max="11559" width="14.6640625" style="685" customWidth="1"/>
    <col min="11560" max="11560" width="16" style="685" customWidth="1"/>
    <col min="11561" max="11561" width="15" style="685" customWidth="1"/>
    <col min="11562" max="11562" width="15.109375" style="685" customWidth="1"/>
    <col min="11563" max="11678" width="9.109375" style="685" customWidth="1"/>
    <col min="11679" max="11776" width="8.88671875" style="685"/>
    <col min="11777" max="11778" width="0" style="685" hidden="1" customWidth="1"/>
    <col min="11779" max="11779" width="6.6640625" style="685" customWidth="1"/>
    <col min="11780" max="11781" width="0" style="685" hidden="1" customWidth="1"/>
    <col min="11782" max="11782" width="1.88671875" style="685" customWidth="1"/>
    <col min="11783" max="11783" width="6.88671875" style="685" bestFit="1" customWidth="1"/>
    <col min="11784" max="11791" width="0" style="685" hidden="1" customWidth="1"/>
    <col min="11792" max="11792" width="25" style="685" customWidth="1"/>
    <col min="11793" max="11810" width="0" style="685" hidden="1" customWidth="1"/>
    <col min="11811" max="11811" width="7.6640625" style="685" customWidth="1"/>
    <col min="11812" max="11812" width="17.6640625" style="685" customWidth="1"/>
    <col min="11813" max="11813" width="19" style="685" customWidth="1"/>
    <col min="11814" max="11814" width="17.6640625" style="685" customWidth="1"/>
    <col min="11815" max="11815" width="14.6640625" style="685" customWidth="1"/>
    <col min="11816" max="11816" width="16" style="685" customWidth="1"/>
    <col min="11817" max="11817" width="15" style="685" customWidth="1"/>
    <col min="11818" max="11818" width="15.109375" style="685" customWidth="1"/>
    <col min="11819" max="11934" width="9.109375" style="685" customWidth="1"/>
    <col min="11935" max="12032" width="8.88671875" style="685"/>
    <col min="12033" max="12034" width="0" style="685" hidden="1" customWidth="1"/>
    <col min="12035" max="12035" width="6.6640625" style="685" customWidth="1"/>
    <col min="12036" max="12037" width="0" style="685" hidden="1" customWidth="1"/>
    <col min="12038" max="12038" width="1.88671875" style="685" customWidth="1"/>
    <col min="12039" max="12039" width="6.88671875" style="685" bestFit="1" customWidth="1"/>
    <col min="12040" max="12047" width="0" style="685" hidden="1" customWidth="1"/>
    <col min="12048" max="12048" width="25" style="685" customWidth="1"/>
    <col min="12049" max="12066" width="0" style="685" hidden="1" customWidth="1"/>
    <col min="12067" max="12067" width="7.6640625" style="685" customWidth="1"/>
    <col min="12068" max="12068" width="17.6640625" style="685" customWidth="1"/>
    <col min="12069" max="12069" width="19" style="685" customWidth="1"/>
    <col min="12070" max="12070" width="17.6640625" style="685" customWidth="1"/>
    <col min="12071" max="12071" width="14.6640625" style="685" customWidth="1"/>
    <col min="12072" max="12072" width="16" style="685" customWidth="1"/>
    <col min="12073" max="12073" width="15" style="685" customWidth="1"/>
    <col min="12074" max="12074" width="15.109375" style="685" customWidth="1"/>
    <col min="12075" max="12190" width="9.109375" style="685" customWidth="1"/>
    <col min="12191" max="12288" width="8.88671875" style="685"/>
    <col min="12289" max="12290" width="0" style="685" hidden="1" customWidth="1"/>
    <col min="12291" max="12291" width="6.6640625" style="685" customWidth="1"/>
    <col min="12292" max="12293" width="0" style="685" hidden="1" customWidth="1"/>
    <col min="12294" max="12294" width="1.88671875" style="685" customWidth="1"/>
    <col min="12295" max="12295" width="6.88671875" style="685" bestFit="1" customWidth="1"/>
    <col min="12296" max="12303" width="0" style="685" hidden="1" customWidth="1"/>
    <col min="12304" max="12304" width="25" style="685" customWidth="1"/>
    <col min="12305" max="12322" width="0" style="685" hidden="1" customWidth="1"/>
    <col min="12323" max="12323" width="7.6640625" style="685" customWidth="1"/>
    <col min="12324" max="12324" width="17.6640625" style="685" customWidth="1"/>
    <col min="12325" max="12325" width="19" style="685" customWidth="1"/>
    <col min="12326" max="12326" width="17.6640625" style="685" customWidth="1"/>
    <col min="12327" max="12327" width="14.6640625" style="685" customWidth="1"/>
    <col min="12328" max="12328" width="16" style="685" customWidth="1"/>
    <col min="12329" max="12329" width="15" style="685" customWidth="1"/>
    <col min="12330" max="12330" width="15.109375" style="685" customWidth="1"/>
    <col min="12331" max="12446" width="9.109375" style="685" customWidth="1"/>
    <col min="12447" max="12544" width="8.88671875" style="685"/>
    <col min="12545" max="12546" width="0" style="685" hidden="1" customWidth="1"/>
    <col min="12547" max="12547" width="6.6640625" style="685" customWidth="1"/>
    <col min="12548" max="12549" width="0" style="685" hidden="1" customWidth="1"/>
    <col min="12550" max="12550" width="1.88671875" style="685" customWidth="1"/>
    <col min="12551" max="12551" width="6.88671875" style="685" bestFit="1" customWidth="1"/>
    <col min="12552" max="12559" width="0" style="685" hidden="1" customWidth="1"/>
    <col min="12560" max="12560" width="25" style="685" customWidth="1"/>
    <col min="12561" max="12578" width="0" style="685" hidden="1" customWidth="1"/>
    <col min="12579" max="12579" width="7.6640625" style="685" customWidth="1"/>
    <col min="12580" max="12580" width="17.6640625" style="685" customWidth="1"/>
    <col min="12581" max="12581" width="19" style="685" customWidth="1"/>
    <col min="12582" max="12582" width="17.6640625" style="685" customWidth="1"/>
    <col min="12583" max="12583" width="14.6640625" style="685" customWidth="1"/>
    <col min="12584" max="12584" width="16" style="685" customWidth="1"/>
    <col min="12585" max="12585" width="15" style="685" customWidth="1"/>
    <col min="12586" max="12586" width="15.109375" style="685" customWidth="1"/>
    <col min="12587" max="12702" width="9.109375" style="685" customWidth="1"/>
    <col min="12703" max="12800" width="8.88671875" style="685"/>
    <col min="12801" max="12802" width="0" style="685" hidden="1" customWidth="1"/>
    <col min="12803" max="12803" width="6.6640625" style="685" customWidth="1"/>
    <col min="12804" max="12805" width="0" style="685" hidden="1" customWidth="1"/>
    <col min="12806" max="12806" width="1.88671875" style="685" customWidth="1"/>
    <col min="12807" max="12807" width="6.88671875" style="685" bestFit="1" customWidth="1"/>
    <col min="12808" max="12815" width="0" style="685" hidden="1" customWidth="1"/>
    <col min="12816" max="12816" width="25" style="685" customWidth="1"/>
    <col min="12817" max="12834" width="0" style="685" hidden="1" customWidth="1"/>
    <col min="12835" max="12835" width="7.6640625" style="685" customWidth="1"/>
    <col min="12836" max="12836" width="17.6640625" style="685" customWidth="1"/>
    <col min="12837" max="12837" width="19" style="685" customWidth="1"/>
    <col min="12838" max="12838" width="17.6640625" style="685" customWidth="1"/>
    <col min="12839" max="12839" width="14.6640625" style="685" customWidth="1"/>
    <col min="12840" max="12840" width="16" style="685" customWidth="1"/>
    <col min="12841" max="12841" width="15" style="685" customWidth="1"/>
    <col min="12842" max="12842" width="15.109375" style="685" customWidth="1"/>
    <col min="12843" max="12958" width="9.109375" style="685" customWidth="1"/>
    <col min="12959" max="13056" width="8.88671875" style="685"/>
    <col min="13057" max="13058" width="0" style="685" hidden="1" customWidth="1"/>
    <col min="13059" max="13059" width="6.6640625" style="685" customWidth="1"/>
    <col min="13060" max="13061" width="0" style="685" hidden="1" customWidth="1"/>
    <col min="13062" max="13062" width="1.88671875" style="685" customWidth="1"/>
    <col min="13063" max="13063" width="6.88671875" style="685" bestFit="1" customWidth="1"/>
    <col min="13064" max="13071" width="0" style="685" hidden="1" customWidth="1"/>
    <col min="13072" max="13072" width="25" style="685" customWidth="1"/>
    <col min="13073" max="13090" width="0" style="685" hidden="1" customWidth="1"/>
    <col min="13091" max="13091" width="7.6640625" style="685" customWidth="1"/>
    <col min="13092" max="13092" width="17.6640625" style="685" customWidth="1"/>
    <col min="13093" max="13093" width="19" style="685" customWidth="1"/>
    <col min="13094" max="13094" width="17.6640625" style="685" customWidth="1"/>
    <col min="13095" max="13095" width="14.6640625" style="685" customWidth="1"/>
    <col min="13096" max="13096" width="16" style="685" customWidth="1"/>
    <col min="13097" max="13097" width="15" style="685" customWidth="1"/>
    <col min="13098" max="13098" width="15.109375" style="685" customWidth="1"/>
    <col min="13099" max="13214" width="9.109375" style="685" customWidth="1"/>
    <col min="13215" max="13312" width="8.88671875" style="685"/>
    <col min="13313" max="13314" width="0" style="685" hidden="1" customWidth="1"/>
    <col min="13315" max="13315" width="6.6640625" style="685" customWidth="1"/>
    <col min="13316" max="13317" width="0" style="685" hidden="1" customWidth="1"/>
    <col min="13318" max="13318" width="1.88671875" style="685" customWidth="1"/>
    <col min="13319" max="13319" width="6.88671875" style="685" bestFit="1" customWidth="1"/>
    <col min="13320" max="13327" width="0" style="685" hidden="1" customWidth="1"/>
    <col min="13328" max="13328" width="25" style="685" customWidth="1"/>
    <col min="13329" max="13346" width="0" style="685" hidden="1" customWidth="1"/>
    <col min="13347" max="13347" width="7.6640625" style="685" customWidth="1"/>
    <col min="13348" max="13348" width="17.6640625" style="685" customWidth="1"/>
    <col min="13349" max="13349" width="19" style="685" customWidth="1"/>
    <col min="13350" max="13350" width="17.6640625" style="685" customWidth="1"/>
    <col min="13351" max="13351" width="14.6640625" style="685" customWidth="1"/>
    <col min="13352" max="13352" width="16" style="685" customWidth="1"/>
    <col min="13353" max="13353" width="15" style="685" customWidth="1"/>
    <col min="13354" max="13354" width="15.109375" style="685" customWidth="1"/>
    <col min="13355" max="13470" width="9.109375" style="685" customWidth="1"/>
    <col min="13471" max="13568" width="8.88671875" style="685"/>
    <col min="13569" max="13570" width="0" style="685" hidden="1" customWidth="1"/>
    <col min="13571" max="13571" width="6.6640625" style="685" customWidth="1"/>
    <col min="13572" max="13573" width="0" style="685" hidden="1" customWidth="1"/>
    <col min="13574" max="13574" width="1.88671875" style="685" customWidth="1"/>
    <col min="13575" max="13575" width="6.88671875" style="685" bestFit="1" customWidth="1"/>
    <col min="13576" max="13583" width="0" style="685" hidden="1" customWidth="1"/>
    <col min="13584" max="13584" width="25" style="685" customWidth="1"/>
    <col min="13585" max="13602" width="0" style="685" hidden="1" customWidth="1"/>
    <col min="13603" max="13603" width="7.6640625" style="685" customWidth="1"/>
    <col min="13604" max="13604" width="17.6640625" style="685" customWidth="1"/>
    <col min="13605" max="13605" width="19" style="685" customWidth="1"/>
    <col min="13606" max="13606" width="17.6640625" style="685" customWidth="1"/>
    <col min="13607" max="13607" width="14.6640625" style="685" customWidth="1"/>
    <col min="13608" max="13608" width="16" style="685" customWidth="1"/>
    <col min="13609" max="13609" width="15" style="685" customWidth="1"/>
    <col min="13610" max="13610" width="15.109375" style="685" customWidth="1"/>
    <col min="13611" max="13726" width="9.109375" style="685" customWidth="1"/>
    <col min="13727" max="13824" width="8.88671875" style="685"/>
    <col min="13825" max="13826" width="0" style="685" hidden="1" customWidth="1"/>
    <col min="13827" max="13827" width="6.6640625" style="685" customWidth="1"/>
    <col min="13828" max="13829" width="0" style="685" hidden="1" customWidth="1"/>
    <col min="13830" max="13830" width="1.88671875" style="685" customWidth="1"/>
    <col min="13831" max="13831" width="6.88671875" style="685" bestFit="1" customWidth="1"/>
    <col min="13832" max="13839" width="0" style="685" hidden="1" customWidth="1"/>
    <col min="13840" max="13840" width="25" style="685" customWidth="1"/>
    <col min="13841" max="13858" width="0" style="685" hidden="1" customWidth="1"/>
    <col min="13859" max="13859" width="7.6640625" style="685" customWidth="1"/>
    <col min="13860" max="13860" width="17.6640625" style="685" customWidth="1"/>
    <col min="13861" max="13861" width="19" style="685" customWidth="1"/>
    <col min="13862" max="13862" width="17.6640625" style="685" customWidth="1"/>
    <col min="13863" max="13863" width="14.6640625" style="685" customWidth="1"/>
    <col min="13864" max="13864" width="16" style="685" customWidth="1"/>
    <col min="13865" max="13865" width="15" style="685" customWidth="1"/>
    <col min="13866" max="13866" width="15.109375" style="685" customWidth="1"/>
    <col min="13867" max="13982" width="9.109375" style="685" customWidth="1"/>
    <col min="13983" max="14080" width="8.88671875" style="685"/>
    <col min="14081" max="14082" width="0" style="685" hidden="1" customWidth="1"/>
    <col min="14083" max="14083" width="6.6640625" style="685" customWidth="1"/>
    <col min="14084" max="14085" width="0" style="685" hidden="1" customWidth="1"/>
    <col min="14086" max="14086" width="1.88671875" style="685" customWidth="1"/>
    <col min="14087" max="14087" width="6.88671875" style="685" bestFit="1" customWidth="1"/>
    <col min="14088" max="14095" width="0" style="685" hidden="1" customWidth="1"/>
    <col min="14096" max="14096" width="25" style="685" customWidth="1"/>
    <col min="14097" max="14114" width="0" style="685" hidden="1" customWidth="1"/>
    <col min="14115" max="14115" width="7.6640625" style="685" customWidth="1"/>
    <col min="14116" max="14116" width="17.6640625" style="685" customWidth="1"/>
    <col min="14117" max="14117" width="19" style="685" customWidth="1"/>
    <col min="14118" max="14118" width="17.6640625" style="685" customWidth="1"/>
    <col min="14119" max="14119" width="14.6640625" style="685" customWidth="1"/>
    <col min="14120" max="14120" width="16" style="685" customWidth="1"/>
    <col min="14121" max="14121" width="15" style="685" customWidth="1"/>
    <col min="14122" max="14122" width="15.109375" style="685" customWidth="1"/>
    <col min="14123" max="14238" width="9.109375" style="685" customWidth="1"/>
    <col min="14239" max="14336" width="8.88671875" style="685"/>
    <col min="14337" max="14338" width="0" style="685" hidden="1" customWidth="1"/>
    <col min="14339" max="14339" width="6.6640625" style="685" customWidth="1"/>
    <col min="14340" max="14341" width="0" style="685" hidden="1" customWidth="1"/>
    <col min="14342" max="14342" width="1.88671875" style="685" customWidth="1"/>
    <col min="14343" max="14343" width="6.88671875" style="685" bestFit="1" customWidth="1"/>
    <col min="14344" max="14351" width="0" style="685" hidden="1" customWidth="1"/>
    <col min="14352" max="14352" width="25" style="685" customWidth="1"/>
    <col min="14353" max="14370" width="0" style="685" hidden="1" customWidth="1"/>
    <col min="14371" max="14371" width="7.6640625" style="685" customWidth="1"/>
    <col min="14372" max="14372" width="17.6640625" style="685" customWidth="1"/>
    <col min="14373" max="14373" width="19" style="685" customWidth="1"/>
    <col min="14374" max="14374" width="17.6640625" style="685" customWidth="1"/>
    <col min="14375" max="14375" width="14.6640625" style="685" customWidth="1"/>
    <col min="14376" max="14376" width="16" style="685" customWidth="1"/>
    <col min="14377" max="14377" width="15" style="685" customWidth="1"/>
    <col min="14378" max="14378" width="15.109375" style="685" customWidth="1"/>
    <col min="14379" max="14494" width="9.109375" style="685" customWidth="1"/>
    <col min="14495" max="14592" width="8.88671875" style="685"/>
    <col min="14593" max="14594" width="0" style="685" hidden="1" customWidth="1"/>
    <col min="14595" max="14595" width="6.6640625" style="685" customWidth="1"/>
    <col min="14596" max="14597" width="0" style="685" hidden="1" customWidth="1"/>
    <col min="14598" max="14598" width="1.88671875" style="685" customWidth="1"/>
    <col min="14599" max="14599" width="6.88671875" style="685" bestFit="1" customWidth="1"/>
    <col min="14600" max="14607" width="0" style="685" hidden="1" customWidth="1"/>
    <col min="14608" max="14608" width="25" style="685" customWidth="1"/>
    <col min="14609" max="14626" width="0" style="685" hidden="1" customWidth="1"/>
    <col min="14627" max="14627" width="7.6640625" style="685" customWidth="1"/>
    <col min="14628" max="14628" width="17.6640625" style="685" customWidth="1"/>
    <col min="14629" max="14629" width="19" style="685" customWidth="1"/>
    <col min="14630" max="14630" width="17.6640625" style="685" customWidth="1"/>
    <col min="14631" max="14631" width="14.6640625" style="685" customWidth="1"/>
    <col min="14632" max="14632" width="16" style="685" customWidth="1"/>
    <col min="14633" max="14633" width="15" style="685" customWidth="1"/>
    <col min="14634" max="14634" width="15.109375" style="685" customWidth="1"/>
    <col min="14635" max="14750" width="9.109375" style="685" customWidth="1"/>
    <col min="14751" max="14848" width="8.88671875" style="685"/>
    <col min="14849" max="14850" width="0" style="685" hidden="1" customWidth="1"/>
    <col min="14851" max="14851" width="6.6640625" style="685" customWidth="1"/>
    <col min="14852" max="14853" width="0" style="685" hidden="1" customWidth="1"/>
    <col min="14854" max="14854" width="1.88671875" style="685" customWidth="1"/>
    <col min="14855" max="14855" width="6.88671875" style="685" bestFit="1" customWidth="1"/>
    <col min="14856" max="14863" width="0" style="685" hidden="1" customWidth="1"/>
    <col min="14864" max="14864" width="25" style="685" customWidth="1"/>
    <col min="14865" max="14882" width="0" style="685" hidden="1" customWidth="1"/>
    <col min="14883" max="14883" width="7.6640625" style="685" customWidth="1"/>
    <col min="14884" max="14884" width="17.6640625" style="685" customWidth="1"/>
    <col min="14885" max="14885" width="19" style="685" customWidth="1"/>
    <col min="14886" max="14886" width="17.6640625" style="685" customWidth="1"/>
    <col min="14887" max="14887" width="14.6640625" style="685" customWidth="1"/>
    <col min="14888" max="14888" width="16" style="685" customWidth="1"/>
    <col min="14889" max="14889" width="15" style="685" customWidth="1"/>
    <col min="14890" max="14890" width="15.109375" style="685" customWidth="1"/>
    <col min="14891" max="15006" width="9.109375" style="685" customWidth="1"/>
    <col min="15007" max="15104" width="8.88671875" style="685"/>
    <col min="15105" max="15106" width="0" style="685" hidden="1" customWidth="1"/>
    <col min="15107" max="15107" width="6.6640625" style="685" customWidth="1"/>
    <col min="15108" max="15109" width="0" style="685" hidden="1" customWidth="1"/>
    <col min="15110" max="15110" width="1.88671875" style="685" customWidth="1"/>
    <col min="15111" max="15111" width="6.88671875" style="685" bestFit="1" customWidth="1"/>
    <col min="15112" max="15119" width="0" style="685" hidden="1" customWidth="1"/>
    <col min="15120" max="15120" width="25" style="685" customWidth="1"/>
    <col min="15121" max="15138" width="0" style="685" hidden="1" customWidth="1"/>
    <col min="15139" max="15139" width="7.6640625" style="685" customWidth="1"/>
    <col min="15140" max="15140" width="17.6640625" style="685" customWidth="1"/>
    <col min="15141" max="15141" width="19" style="685" customWidth="1"/>
    <col min="15142" max="15142" width="17.6640625" style="685" customWidth="1"/>
    <col min="15143" max="15143" width="14.6640625" style="685" customWidth="1"/>
    <col min="15144" max="15144" width="16" style="685" customWidth="1"/>
    <col min="15145" max="15145" width="15" style="685" customWidth="1"/>
    <col min="15146" max="15146" width="15.109375" style="685" customWidth="1"/>
    <col min="15147" max="15262" width="9.109375" style="685" customWidth="1"/>
    <col min="15263" max="15360" width="8.88671875" style="685"/>
    <col min="15361" max="15362" width="0" style="685" hidden="1" customWidth="1"/>
    <col min="15363" max="15363" width="6.6640625" style="685" customWidth="1"/>
    <col min="15364" max="15365" width="0" style="685" hidden="1" customWidth="1"/>
    <col min="15366" max="15366" width="1.88671875" style="685" customWidth="1"/>
    <col min="15367" max="15367" width="6.88671875" style="685" bestFit="1" customWidth="1"/>
    <col min="15368" max="15375" width="0" style="685" hidden="1" customWidth="1"/>
    <col min="15376" max="15376" width="25" style="685" customWidth="1"/>
    <col min="15377" max="15394" width="0" style="685" hidden="1" customWidth="1"/>
    <col min="15395" max="15395" width="7.6640625" style="685" customWidth="1"/>
    <col min="15396" max="15396" width="17.6640625" style="685" customWidth="1"/>
    <col min="15397" max="15397" width="19" style="685" customWidth="1"/>
    <col min="15398" max="15398" width="17.6640625" style="685" customWidth="1"/>
    <col min="15399" max="15399" width="14.6640625" style="685" customWidth="1"/>
    <col min="15400" max="15400" width="16" style="685" customWidth="1"/>
    <col min="15401" max="15401" width="15" style="685" customWidth="1"/>
    <col min="15402" max="15402" width="15.109375" style="685" customWidth="1"/>
    <col min="15403" max="15518" width="9.109375" style="685" customWidth="1"/>
    <col min="15519" max="15616" width="8.88671875" style="685"/>
    <col min="15617" max="15618" width="0" style="685" hidden="1" customWidth="1"/>
    <col min="15619" max="15619" width="6.6640625" style="685" customWidth="1"/>
    <col min="15620" max="15621" width="0" style="685" hidden="1" customWidth="1"/>
    <col min="15622" max="15622" width="1.88671875" style="685" customWidth="1"/>
    <col min="15623" max="15623" width="6.88671875" style="685" bestFit="1" customWidth="1"/>
    <col min="15624" max="15631" width="0" style="685" hidden="1" customWidth="1"/>
    <col min="15632" max="15632" width="25" style="685" customWidth="1"/>
    <col min="15633" max="15650" width="0" style="685" hidden="1" customWidth="1"/>
    <col min="15651" max="15651" width="7.6640625" style="685" customWidth="1"/>
    <col min="15652" max="15652" width="17.6640625" style="685" customWidth="1"/>
    <col min="15653" max="15653" width="19" style="685" customWidth="1"/>
    <col min="15654" max="15654" width="17.6640625" style="685" customWidth="1"/>
    <col min="15655" max="15655" width="14.6640625" style="685" customWidth="1"/>
    <col min="15656" max="15656" width="16" style="685" customWidth="1"/>
    <col min="15657" max="15657" width="15" style="685" customWidth="1"/>
    <col min="15658" max="15658" width="15.109375" style="685" customWidth="1"/>
    <col min="15659" max="15774" width="9.109375" style="685" customWidth="1"/>
    <col min="15775" max="15872" width="8.88671875" style="685"/>
    <col min="15873" max="15874" width="0" style="685" hidden="1" customWidth="1"/>
    <col min="15875" max="15875" width="6.6640625" style="685" customWidth="1"/>
    <col min="15876" max="15877" width="0" style="685" hidden="1" customWidth="1"/>
    <col min="15878" max="15878" width="1.88671875" style="685" customWidth="1"/>
    <col min="15879" max="15879" width="6.88671875" style="685" bestFit="1" customWidth="1"/>
    <col min="15880" max="15887" width="0" style="685" hidden="1" customWidth="1"/>
    <col min="15888" max="15888" width="25" style="685" customWidth="1"/>
    <col min="15889" max="15906" width="0" style="685" hidden="1" customWidth="1"/>
    <col min="15907" max="15907" width="7.6640625" style="685" customWidth="1"/>
    <col min="15908" max="15908" width="17.6640625" style="685" customWidth="1"/>
    <col min="15909" max="15909" width="19" style="685" customWidth="1"/>
    <col min="15910" max="15910" width="17.6640625" style="685" customWidth="1"/>
    <col min="15911" max="15911" width="14.6640625" style="685" customWidth="1"/>
    <col min="15912" max="15912" width="16" style="685" customWidth="1"/>
    <col min="15913" max="15913" width="15" style="685" customWidth="1"/>
    <col min="15914" max="15914" width="15.109375" style="685" customWidth="1"/>
    <col min="15915" max="16030" width="9.109375" style="685" customWidth="1"/>
    <col min="16031" max="16128" width="8.88671875" style="685"/>
    <col min="16129" max="16130" width="0" style="685" hidden="1" customWidth="1"/>
    <col min="16131" max="16131" width="6.6640625" style="685" customWidth="1"/>
    <col min="16132" max="16133" width="0" style="685" hidden="1" customWidth="1"/>
    <col min="16134" max="16134" width="1.88671875" style="685" customWidth="1"/>
    <col min="16135" max="16135" width="6.88671875" style="685" bestFit="1" customWidth="1"/>
    <col min="16136" max="16143" width="0" style="685" hidden="1" customWidth="1"/>
    <col min="16144" max="16144" width="25" style="685" customWidth="1"/>
    <col min="16145" max="16162" width="0" style="685" hidden="1" customWidth="1"/>
    <col min="16163" max="16163" width="7.6640625" style="685" customWidth="1"/>
    <col min="16164" max="16164" width="17.6640625" style="685" customWidth="1"/>
    <col min="16165" max="16165" width="19" style="685" customWidth="1"/>
    <col min="16166" max="16166" width="17.6640625" style="685" customWidth="1"/>
    <col min="16167" max="16167" width="14.6640625" style="685" customWidth="1"/>
    <col min="16168" max="16168" width="16" style="685" customWidth="1"/>
    <col min="16169" max="16169" width="15" style="685" customWidth="1"/>
    <col min="16170" max="16170" width="15.109375" style="685" customWidth="1"/>
    <col min="16171" max="16286" width="9.109375" style="685" customWidth="1"/>
    <col min="16287" max="16384" width="8.88671875" style="685"/>
  </cols>
  <sheetData>
    <row r="1" spans="1:41" ht="63" customHeight="1" x14ac:dyDescent="0.3">
      <c r="A1" s="669" t="s">
        <v>846</v>
      </c>
      <c r="B1" s="670"/>
      <c r="C1" s="671"/>
      <c r="D1" s="672" t="s">
        <v>847</v>
      </c>
      <c r="E1" s="673" t="s">
        <v>848</v>
      </c>
      <c r="F1" s="672"/>
      <c r="G1" s="674" t="s">
        <v>849</v>
      </c>
      <c r="H1" s="675" t="s">
        <v>850</v>
      </c>
      <c r="I1" s="672" t="s">
        <v>851</v>
      </c>
      <c r="J1" s="676" t="s">
        <v>852</v>
      </c>
      <c r="K1" s="672" t="s">
        <v>853</v>
      </c>
      <c r="L1" s="672" t="s">
        <v>854</v>
      </c>
      <c r="M1" s="672" t="s">
        <v>855</v>
      </c>
      <c r="N1" s="672" t="s">
        <v>856</v>
      </c>
      <c r="O1" s="672" t="s">
        <v>857</v>
      </c>
      <c r="P1" s="673" t="s">
        <v>858</v>
      </c>
      <c r="Q1" s="672" t="s">
        <v>859</v>
      </c>
      <c r="R1" s="673" t="s">
        <v>860</v>
      </c>
      <c r="S1" s="677" t="s">
        <v>861</v>
      </c>
      <c r="T1" s="677" t="s">
        <v>862</v>
      </c>
      <c r="U1" s="672" t="s">
        <v>863</v>
      </c>
      <c r="V1" s="672" t="s">
        <v>864</v>
      </c>
      <c r="W1" s="678" t="s">
        <v>865</v>
      </c>
      <c r="X1" s="679" t="s">
        <v>866</v>
      </c>
      <c r="Y1" s="677" t="s">
        <v>867</v>
      </c>
      <c r="Z1" s="677" t="s">
        <v>868</v>
      </c>
      <c r="AA1" s="677" t="s">
        <v>869</v>
      </c>
      <c r="AB1" s="677" t="s">
        <v>870</v>
      </c>
      <c r="AC1" s="677" t="s">
        <v>871</v>
      </c>
      <c r="AD1" s="677" t="s">
        <v>872</v>
      </c>
      <c r="AE1" s="676" t="s">
        <v>873</v>
      </c>
      <c r="AF1" s="680" t="s">
        <v>874</v>
      </c>
      <c r="AG1" s="677" t="s">
        <v>875</v>
      </c>
      <c r="AH1" s="680" t="s">
        <v>876</v>
      </c>
      <c r="AI1" s="681" t="s">
        <v>877</v>
      </c>
      <c r="AJ1" s="682" t="s">
        <v>878</v>
      </c>
      <c r="AK1" s="683" t="s">
        <v>879</v>
      </c>
      <c r="AL1" s="684" t="s">
        <v>880</v>
      </c>
      <c r="AM1" s="684" t="s">
        <v>881</v>
      </c>
      <c r="AN1" s="684" t="s">
        <v>882</v>
      </c>
      <c r="AO1" s="684" t="s">
        <v>883</v>
      </c>
    </row>
    <row r="2" spans="1:41" x14ac:dyDescent="0.3">
      <c r="A2" s="669" t="s">
        <v>884</v>
      </c>
      <c r="B2" s="686" t="e">
        <f>+#REF!+1</f>
        <v>#REF!</v>
      </c>
      <c r="C2" s="687">
        <v>1</v>
      </c>
      <c r="D2" s="688">
        <v>100</v>
      </c>
      <c r="E2" s="688">
        <v>210</v>
      </c>
      <c r="F2" s="689"/>
      <c r="G2" s="689">
        <v>38.4</v>
      </c>
      <c r="H2" s="690">
        <v>1.024</v>
      </c>
      <c r="I2" s="691">
        <f t="shared" ref="I2:I107" si="0">+G2*E2*H2*D2*F2/100</f>
        <v>0</v>
      </c>
      <c r="J2" s="692">
        <f t="shared" ref="J2:J107" si="1">ROUND(+I2*M2/(12*100),0)</f>
        <v>0</v>
      </c>
      <c r="K2" s="692">
        <v>0</v>
      </c>
      <c r="L2" s="692">
        <f t="shared" ref="L2:L107" si="2">+J2-K2</f>
        <v>0</v>
      </c>
      <c r="M2" s="693">
        <v>3.81</v>
      </c>
      <c r="N2" s="693">
        <v>0</v>
      </c>
      <c r="O2" s="691">
        <f t="shared" ref="O2:O56" si="3">ROUND(+I2*N2/(12*100),0)</f>
        <v>0</v>
      </c>
      <c r="P2" s="688" t="s">
        <v>885</v>
      </c>
      <c r="Q2" s="694">
        <v>5000</v>
      </c>
      <c r="R2" s="688" t="s">
        <v>886</v>
      </c>
      <c r="S2" s="688" t="e">
        <f>+#REF!</f>
        <v>#REF!</v>
      </c>
      <c r="T2" s="688" t="s">
        <v>887</v>
      </c>
      <c r="U2" s="694">
        <v>5000</v>
      </c>
      <c r="V2" s="688" t="s">
        <v>886</v>
      </c>
      <c r="W2" s="695">
        <v>36327</v>
      </c>
      <c r="X2" s="696" t="s">
        <v>888</v>
      </c>
      <c r="Y2" s="688" t="s">
        <v>889</v>
      </c>
      <c r="Z2" s="688" t="s">
        <v>890</v>
      </c>
      <c r="AA2" s="688" t="s">
        <v>891</v>
      </c>
      <c r="AB2" s="688" t="s">
        <v>891</v>
      </c>
      <c r="AC2" s="688"/>
      <c r="AD2" s="688"/>
      <c r="AE2" s="689">
        <v>5132306.3499999996</v>
      </c>
      <c r="AF2" s="693">
        <v>10.96</v>
      </c>
      <c r="AG2" s="688" t="s">
        <v>891</v>
      </c>
      <c r="AH2" s="693">
        <v>10.96</v>
      </c>
      <c r="AI2" s="697" t="s">
        <v>888</v>
      </c>
      <c r="AJ2" s="698" t="s">
        <v>892</v>
      </c>
      <c r="AK2" s="699">
        <f>G2*800</f>
        <v>30720</v>
      </c>
      <c r="AL2" s="685" t="s">
        <v>159</v>
      </c>
      <c r="AM2" s="699">
        <v>2500</v>
      </c>
      <c r="AN2" s="699">
        <v>1000</v>
      </c>
    </row>
    <row r="3" spans="1:41" x14ac:dyDescent="0.3">
      <c r="B3" s="686"/>
      <c r="C3" s="687">
        <v>2</v>
      </c>
      <c r="D3" s="688"/>
      <c r="E3" s="688"/>
      <c r="F3" s="689"/>
      <c r="G3" s="689">
        <v>151.19999999999999</v>
      </c>
      <c r="H3" s="690"/>
      <c r="I3" s="691"/>
      <c r="J3" s="692"/>
      <c r="K3" s="692"/>
      <c r="L3" s="692"/>
      <c r="M3" s="693"/>
      <c r="N3" s="693"/>
      <c r="O3" s="691"/>
      <c r="P3" s="688" t="s">
        <v>893</v>
      </c>
      <c r="Q3" s="694"/>
      <c r="R3" s="688"/>
      <c r="S3" s="688"/>
      <c r="T3" s="688"/>
      <c r="U3" s="694"/>
      <c r="V3" s="688"/>
      <c r="W3" s="695"/>
      <c r="X3" s="696"/>
      <c r="Y3" s="688"/>
      <c r="Z3" s="688"/>
      <c r="AA3" s="688"/>
      <c r="AB3" s="688"/>
      <c r="AC3" s="688"/>
      <c r="AD3" s="688"/>
      <c r="AE3" s="689"/>
      <c r="AF3" s="693"/>
      <c r="AG3" s="688"/>
      <c r="AH3" s="693"/>
      <c r="AI3" s="697">
        <v>1912</v>
      </c>
      <c r="AJ3" s="698" t="s">
        <v>894</v>
      </c>
      <c r="AK3" s="699">
        <f>G3*750</f>
        <v>113399.99999999999</v>
      </c>
      <c r="AL3" s="685" t="s">
        <v>160</v>
      </c>
      <c r="AM3" s="699">
        <v>2500</v>
      </c>
      <c r="AN3" s="699">
        <v>1000</v>
      </c>
    </row>
    <row r="4" spans="1:41" x14ac:dyDescent="0.3">
      <c r="B4" s="686"/>
      <c r="C4" s="687">
        <v>3</v>
      </c>
      <c r="D4" s="688"/>
      <c r="E4" s="688"/>
      <c r="F4" s="689"/>
      <c r="G4" s="689">
        <v>73.25</v>
      </c>
      <c r="H4" s="690"/>
      <c r="I4" s="691"/>
      <c r="J4" s="692"/>
      <c r="K4" s="692"/>
      <c r="L4" s="692"/>
      <c r="M4" s="693"/>
      <c r="N4" s="693"/>
      <c r="O4" s="691"/>
      <c r="P4" s="688" t="s">
        <v>895</v>
      </c>
      <c r="Q4" s="694"/>
      <c r="R4" s="688"/>
      <c r="S4" s="688"/>
      <c r="T4" s="688"/>
      <c r="U4" s="694"/>
      <c r="V4" s="688"/>
      <c r="W4" s="695"/>
      <c r="X4" s="696"/>
      <c r="Y4" s="688"/>
      <c r="Z4" s="688"/>
      <c r="AA4" s="688"/>
      <c r="AB4" s="688"/>
      <c r="AC4" s="688"/>
      <c r="AD4" s="688"/>
      <c r="AE4" s="689"/>
      <c r="AF4" s="693"/>
      <c r="AG4" s="688"/>
      <c r="AH4" s="693"/>
      <c r="AI4" s="697">
        <v>2009</v>
      </c>
      <c r="AJ4" s="698" t="s">
        <v>896</v>
      </c>
      <c r="AK4" s="699">
        <f>G4*1100</f>
        <v>80575</v>
      </c>
      <c r="AL4" s="685" t="s">
        <v>159</v>
      </c>
      <c r="AM4" s="699">
        <v>2500</v>
      </c>
      <c r="AN4" s="699">
        <v>1000</v>
      </c>
    </row>
    <row r="5" spans="1:41" x14ac:dyDescent="0.3">
      <c r="B5" s="686"/>
      <c r="C5" s="687">
        <v>4</v>
      </c>
      <c r="D5" s="688"/>
      <c r="E5" s="688"/>
      <c r="F5" s="689"/>
      <c r="G5" s="689">
        <v>71.44</v>
      </c>
      <c r="H5" s="690"/>
      <c r="I5" s="691"/>
      <c r="J5" s="692"/>
      <c r="K5" s="692"/>
      <c r="L5" s="692"/>
      <c r="M5" s="693"/>
      <c r="N5" s="693"/>
      <c r="O5" s="691"/>
      <c r="P5" s="688" t="s">
        <v>895</v>
      </c>
      <c r="Q5" s="694"/>
      <c r="R5" s="688"/>
      <c r="S5" s="688"/>
      <c r="T5" s="688"/>
      <c r="U5" s="694"/>
      <c r="V5" s="688"/>
      <c r="W5" s="695"/>
      <c r="X5" s="696"/>
      <c r="Y5" s="688"/>
      <c r="Z5" s="688"/>
      <c r="AA5" s="688"/>
      <c r="AB5" s="688"/>
      <c r="AC5" s="688"/>
      <c r="AD5" s="688"/>
      <c r="AE5" s="689"/>
      <c r="AF5" s="693"/>
      <c r="AG5" s="688"/>
      <c r="AH5" s="693"/>
      <c r="AI5" s="697">
        <v>2009</v>
      </c>
      <c r="AJ5" s="698" t="s">
        <v>897</v>
      </c>
      <c r="AK5" s="699">
        <f t="shared" ref="AK5:AK14" si="4">G5*1100</f>
        <v>78584</v>
      </c>
      <c r="AL5" s="685" t="s">
        <v>159</v>
      </c>
      <c r="AM5" s="699">
        <v>2500</v>
      </c>
      <c r="AN5" s="699">
        <v>1000</v>
      </c>
    </row>
    <row r="6" spans="1:41" x14ac:dyDescent="0.3">
      <c r="B6" s="686"/>
      <c r="C6" s="687">
        <v>5</v>
      </c>
      <c r="D6" s="688"/>
      <c r="E6" s="688"/>
      <c r="F6" s="689"/>
      <c r="G6" s="689">
        <v>56.96</v>
      </c>
      <c r="H6" s="690"/>
      <c r="I6" s="691"/>
      <c r="J6" s="692"/>
      <c r="K6" s="692"/>
      <c r="L6" s="692"/>
      <c r="M6" s="693"/>
      <c r="N6" s="693"/>
      <c r="O6" s="691"/>
      <c r="P6" s="688" t="s">
        <v>895</v>
      </c>
      <c r="Q6" s="694"/>
      <c r="R6" s="688"/>
      <c r="S6" s="688"/>
      <c r="T6" s="688"/>
      <c r="U6" s="694"/>
      <c r="V6" s="688"/>
      <c r="W6" s="695"/>
      <c r="X6" s="696"/>
      <c r="Y6" s="688"/>
      <c r="Z6" s="688"/>
      <c r="AA6" s="688"/>
      <c r="AB6" s="688"/>
      <c r="AC6" s="688"/>
      <c r="AD6" s="688"/>
      <c r="AE6" s="689"/>
      <c r="AF6" s="693"/>
      <c r="AG6" s="688"/>
      <c r="AH6" s="693"/>
      <c r="AI6" s="697">
        <v>2009</v>
      </c>
      <c r="AJ6" s="698" t="s">
        <v>898</v>
      </c>
      <c r="AK6" s="699">
        <f t="shared" si="4"/>
        <v>62656</v>
      </c>
      <c r="AL6" s="685" t="s">
        <v>159</v>
      </c>
      <c r="AM6" s="699">
        <v>2500</v>
      </c>
      <c r="AN6" s="699">
        <v>1000</v>
      </c>
    </row>
    <row r="7" spans="1:41" x14ac:dyDescent="0.3">
      <c r="B7" s="686"/>
      <c r="C7" s="687">
        <v>6</v>
      </c>
      <c r="D7" s="688"/>
      <c r="E7" s="688"/>
      <c r="F7" s="689"/>
      <c r="G7" s="689">
        <v>54.08</v>
      </c>
      <c r="H7" s="690"/>
      <c r="I7" s="691"/>
      <c r="J7" s="692"/>
      <c r="K7" s="692"/>
      <c r="L7" s="692"/>
      <c r="M7" s="693"/>
      <c r="N7" s="693"/>
      <c r="O7" s="691"/>
      <c r="P7" s="688" t="s">
        <v>895</v>
      </c>
      <c r="Q7" s="694"/>
      <c r="R7" s="688"/>
      <c r="S7" s="688"/>
      <c r="T7" s="688"/>
      <c r="U7" s="694"/>
      <c r="V7" s="688"/>
      <c r="W7" s="695"/>
      <c r="X7" s="696"/>
      <c r="Y7" s="688"/>
      <c r="Z7" s="688"/>
      <c r="AA7" s="688"/>
      <c r="AB7" s="688"/>
      <c r="AC7" s="688"/>
      <c r="AD7" s="688"/>
      <c r="AE7" s="689"/>
      <c r="AF7" s="693"/>
      <c r="AG7" s="688"/>
      <c r="AH7" s="693"/>
      <c r="AI7" s="697">
        <v>2009</v>
      </c>
      <c r="AJ7" s="698" t="s">
        <v>899</v>
      </c>
      <c r="AK7" s="699">
        <f t="shared" si="4"/>
        <v>59488</v>
      </c>
      <c r="AL7" s="685" t="s">
        <v>159</v>
      </c>
      <c r="AM7" s="699">
        <v>2500</v>
      </c>
      <c r="AN7" s="699">
        <v>1000</v>
      </c>
    </row>
    <row r="8" spans="1:41" x14ac:dyDescent="0.3">
      <c r="B8" s="686"/>
      <c r="C8" s="687">
        <v>7</v>
      </c>
      <c r="D8" s="688"/>
      <c r="E8" s="688"/>
      <c r="F8" s="689"/>
      <c r="G8" s="689">
        <v>53.94</v>
      </c>
      <c r="H8" s="690"/>
      <c r="I8" s="691"/>
      <c r="J8" s="692"/>
      <c r="K8" s="692"/>
      <c r="L8" s="692"/>
      <c r="M8" s="693"/>
      <c r="N8" s="693"/>
      <c r="O8" s="691"/>
      <c r="P8" s="688" t="s">
        <v>895</v>
      </c>
      <c r="Q8" s="694"/>
      <c r="R8" s="688"/>
      <c r="S8" s="688"/>
      <c r="T8" s="688"/>
      <c r="U8" s="694"/>
      <c r="V8" s="688"/>
      <c r="W8" s="695"/>
      <c r="X8" s="696"/>
      <c r="Y8" s="688"/>
      <c r="Z8" s="688"/>
      <c r="AA8" s="688"/>
      <c r="AB8" s="688"/>
      <c r="AC8" s="688"/>
      <c r="AD8" s="688"/>
      <c r="AE8" s="689"/>
      <c r="AF8" s="693"/>
      <c r="AG8" s="688"/>
      <c r="AH8" s="693"/>
      <c r="AI8" s="697">
        <v>2009</v>
      </c>
      <c r="AJ8" s="698" t="s">
        <v>900</v>
      </c>
      <c r="AK8" s="699">
        <f t="shared" si="4"/>
        <v>59334</v>
      </c>
      <c r="AL8" s="685" t="s">
        <v>159</v>
      </c>
      <c r="AM8" s="699">
        <v>2500</v>
      </c>
      <c r="AN8" s="699">
        <v>1000</v>
      </c>
    </row>
    <row r="9" spans="1:41" x14ac:dyDescent="0.3">
      <c r="B9" s="686"/>
      <c r="C9" s="687">
        <v>8</v>
      </c>
      <c r="D9" s="688"/>
      <c r="E9" s="688"/>
      <c r="F9" s="689"/>
      <c r="G9" s="689">
        <v>73.599999999999994</v>
      </c>
      <c r="H9" s="690"/>
      <c r="I9" s="691"/>
      <c r="J9" s="692"/>
      <c r="K9" s="692"/>
      <c r="L9" s="692"/>
      <c r="M9" s="693"/>
      <c r="N9" s="693"/>
      <c r="O9" s="691"/>
      <c r="P9" s="688" t="s">
        <v>895</v>
      </c>
      <c r="Q9" s="694"/>
      <c r="R9" s="688"/>
      <c r="S9" s="688"/>
      <c r="T9" s="688"/>
      <c r="U9" s="694"/>
      <c r="V9" s="688"/>
      <c r="W9" s="695"/>
      <c r="X9" s="696"/>
      <c r="Y9" s="688"/>
      <c r="Z9" s="688"/>
      <c r="AA9" s="688"/>
      <c r="AB9" s="688"/>
      <c r="AC9" s="688"/>
      <c r="AD9" s="688"/>
      <c r="AE9" s="689"/>
      <c r="AF9" s="693"/>
      <c r="AG9" s="688"/>
      <c r="AH9" s="693"/>
      <c r="AI9" s="697">
        <v>2009</v>
      </c>
      <c r="AJ9" s="698" t="s">
        <v>901</v>
      </c>
      <c r="AK9" s="699">
        <f t="shared" si="4"/>
        <v>80960</v>
      </c>
      <c r="AL9" s="685" t="s">
        <v>159</v>
      </c>
      <c r="AM9" s="699">
        <v>2500</v>
      </c>
      <c r="AN9" s="699">
        <v>1000</v>
      </c>
    </row>
    <row r="10" spans="1:41" x14ac:dyDescent="0.3">
      <c r="B10" s="686"/>
      <c r="C10" s="687">
        <v>9</v>
      </c>
      <c r="D10" s="688"/>
      <c r="E10" s="688"/>
      <c r="F10" s="689"/>
      <c r="G10" s="689">
        <v>56.27</v>
      </c>
      <c r="H10" s="690"/>
      <c r="I10" s="691"/>
      <c r="J10" s="692"/>
      <c r="K10" s="692"/>
      <c r="L10" s="692"/>
      <c r="M10" s="693"/>
      <c r="N10" s="693"/>
      <c r="O10" s="691"/>
      <c r="P10" s="688" t="s">
        <v>895</v>
      </c>
      <c r="Q10" s="694"/>
      <c r="R10" s="688"/>
      <c r="S10" s="688"/>
      <c r="T10" s="688"/>
      <c r="U10" s="694"/>
      <c r="V10" s="688"/>
      <c r="W10" s="695"/>
      <c r="X10" s="696"/>
      <c r="Y10" s="688"/>
      <c r="Z10" s="688"/>
      <c r="AA10" s="688"/>
      <c r="AB10" s="688"/>
      <c r="AC10" s="688"/>
      <c r="AD10" s="688"/>
      <c r="AE10" s="689"/>
      <c r="AF10" s="693"/>
      <c r="AG10" s="688"/>
      <c r="AH10" s="693"/>
      <c r="AI10" s="697">
        <v>2009</v>
      </c>
      <c r="AJ10" s="698" t="s">
        <v>902</v>
      </c>
      <c r="AK10" s="699">
        <f t="shared" si="4"/>
        <v>61897</v>
      </c>
      <c r="AL10" s="685" t="s">
        <v>159</v>
      </c>
      <c r="AM10" s="699">
        <v>2500</v>
      </c>
      <c r="AN10" s="699">
        <v>1000</v>
      </c>
    </row>
    <row r="11" spans="1:41" x14ac:dyDescent="0.3">
      <c r="B11" s="686"/>
      <c r="C11" s="687">
        <v>10</v>
      </c>
      <c r="D11" s="688"/>
      <c r="E11" s="688"/>
      <c r="F11" s="689"/>
      <c r="G11" s="689">
        <v>56.42</v>
      </c>
      <c r="H11" s="690"/>
      <c r="I11" s="691"/>
      <c r="J11" s="692"/>
      <c r="K11" s="692"/>
      <c r="L11" s="692"/>
      <c r="M11" s="693"/>
      <c r="N11" s="693"/>
      <c r="O11" s="691"/>
      <c r="P11" s="688" t="s">
        <v>895</v>
      </c>
      <c r="Q11" s="694"/>
      <c r="R11" s="688"/>
      <c r="S11" s="688"/>
      <c r="T11" s="688"/>
      <c r="U11" s="694"/>
      <c r="V11" s="688"/>
      <c r="W11" s="695"/>
      <c r="X11" s="696"/>
      <c r="Y11" s="688"/>
      <c r="Z11" s="688"/>
      <c r="AA11" s="688"/>
      <c r="AB11" s="688"/>
      <c r="AC11" s="688"/>
      <c r="AD11" s="688"/>
      <c r="AE11" s="689"/>
      <c r="AF11" s="693"/>
      <c r="AG11" s="688"/>
      <c r="AH11" s="693"/>
      <c r="AI11" s="697">
        <v>2009</v>
      </c>
      <c r="AJ11" s="698" t="s">
        <v>903</v>
      </c>
      <c r="AK11" s="699">
        <f t="shared" si="4"/>
        <v>62062</v>
      </c>
      <c r="AL11" s="685" t="s">
        <v>159</v>
      </c>
      <c r="AM11" s="699">
        <v>2500</v>
      </c>
      <c r="AN11" s="699">
        <v>1000</v>
      </c>
    </row>
    <row r="12" spans="1:41" x14ac:dyDescent="0.3">
      <c r="B12" s="686"/>
      <c r="C12" s="687">
        <v>11</v>
      </c>
      <c r="D12" s="688"/>
      <c r="E12" s="688"/>
      <c r="F12" s="689"/>
      <c r="G12" s="689">
        <v>71.42</v>
      </c>
      <c r="H12" s="690"/>
      <c r="I12" s="691"/>
      <c r="J12" s="692"/>
      <c r="K12" s="692"/>
      <c r="L12" s="692"/>
      <c r="M12" s="693"/>
      <c r="N12" s="693"/>
      <c r="O12" s="691"/>
      <c r="P12" s="688" t="s">
        <v>895</v>
      </c>
      <c r="Q12" s="694"/>
      <c r="R12" s="688"/>
      <c r="S12" s="688"/>
      <c r="T12" s="688"/>
      <c r="U12" s="694"/>
      <c r="V12" s="688"/>
      <c r="W12" s="695"/>
      <c r="X12" s="696"/>
      <c r="Y12" s="688"/>
      <c r="Z12" s="688"/>
      <c r="AA12" s="688"/>
      <c r="AB12" s="688"/>
      <c r="AC12" s="688"/>
      <c r="AD12" s="688"/>
      <c r="AE12" s="689"/>
      <c r="AF12" s="693"/>
      <c r="AG12" s="688"/>
      <c r="AH12" s="693"/>
      <c r="AI12" s="697">
        <v>2009</v>
      </c>
      <c r="AJ12" s="698" t="s">
        <v>904</v>
      </c>
      <c r="AK12" s="699">
        <f t="shared" si="4"/>
        <v>78562</v>
      </c>
      <c r="AL12" s="685" t="s">
        <v>159</v>
      </c>
      <c r="AM12" s="699">
        <v>2500</v>
      </c>
      <c r="AN12" s="699">
        <v>1000</v>
      </c>
    </row>
    <row r="13" spans="1:41" x14ac:dyDescent="0.3">
      <c r="B13" s="686"/>
      <c r="C13" s="687">
        <v>12</v>
      </c>
      <c r="D13" s="688"/>
      <c r="E13" s="688"/>
      <c r="F13" s="689"/>
      <c r="G13" s="689">
        <v>54.59</v>
      </c>
      <c r="H13" s="690"/>
      <c r="I13" s="691"/>
      <c r="J13" s="692"/>
      <c r="K13" s="692"/>
      <c r="L13" s="692"/>
      <c r="M13" s="693"/>
      <c r="N13" s="693"/>
      <c r="O13" s="691"/>
      <c r="P13" s="688" t="s">
        <v>895</v>
      </c>
      <c r="Q13" s="694"/>
      <c r="R13" s="688"/>
      <c r="S13" s="688"/>
      <c r="T13" s="688"/>
      <c r="U13" s="694"/>
      <c r="V13" s="688"/>
      <c r="W13" s="695"/>
      <c r="X13" s="696"/>
      <c r="Y13" s="688"/>
      <c r="Z13" s="688"/>
      <c r="AA13" s="688"/>
      <c r="AB13" s="688"/>
      <c r="AC13" s="688"/>
      <c r="AD13" s="688"/>
      <c r="AE13" s="689"/>
      <c r="AF13" s="693"/>
      <c r="AG13" s="688"/>
      <c r="AH13" s="693"/>
      <c r="AI13" s="697">
        <v>2009</v>
      </c>
      <c r="AJ13" s="698" t="s">
        <v>905</v>
      </c>
      <c r="AK13" s="699">
        <f t="shared" si="4"/>
        <v>60049.000000000007</v>
      </c>
      <c r="AL13" s="685" t="s">
        <v>159</v>
      </c>
      <c r="AM13" s="699">
        <v>2500</v>
      </c>
      <c r="AN13" s="699">
        <v>1000</v>
      </c>
    </row>
    <row r="14" spans="1:41" x14ac:dyDescent="0.3">
      <c r="B14" s="686"/>
      <c r="C14" s="687">
        <v>13</v>
      </c>
      <c r="D14" s="688"/>
      <c r="E14" s="688"/>
      <c r="F14" s="689"/>
      <c r="G14" s="689">
        <v>71.89</v>
      </c>
      <c r="H14" s="690"/>
      <c r="I14" s="691"/>
      <c r="J14" s="692"/>
      <c r="K14" s="692"/>
      <c r="L14" s="692"/>
      <c r="M14" s="693"/>
      <c r="N14" s="693"/>
      <c r="O14" s="691"/>
      <c r="P14" s="688" t="s">
        <v>895</v>
      </c>
      <c r="Q14" s="694"/>
      <c r="R14" s="688"/>
      <c r="S14" s="688"/>
      <c r="T14" s="688"/>
      <c r="U14" s="694"/>
      <c r="V14" s="688"/>
      <c r="W14" s="695"/>
      <c r="X14" s="696"/>
      <c r="Y14" s="688"/>
      <c r="Z14" s="688"/>
      <c r="AA14" s="688"/>
      <c r="AB14" s="688"/>
      <c r="AC14" s="688"/>
      <c r="AD14" s="688"/>
      <c r="AE14" s="689"/>
      <c r="AF14" s="693"/>
      <c r="AG14" s="688"/>
      <c r="AH14" s="693"/>
      <c r="AI14" s="697">
        <v>2009</v>
      </c>
      <c r="AJ14" s="698" t="s">
        <v>906</v>
      </c>
      <c r="AK14" s="699">
        <f t="shared" si="4"/>
        <v>79079</v>
      </c>
      <c r="AL14" s="685" t="s">
        <v>159</v>
      </c>
      <c r="AM14" s="699">
        <v>2500</v>
      </c>
      <c r="AN14" s="699">
        <v>1000</v>
      </c>
    </row>
    <row r="15" spans="1:41" x14ac:dyDescent="0.3">
      <c r="A15" s="669" t="s">
        <v>907</v>
      </c>
      <c r="B15" s="686" t="e">
        <f>+#REF!+1</f>
        <v>#REF!</v>
      </c>
      <c r="C15" s="687">
        <v>14</v>
      </c>
      <c r="D15" s="688">
        <v>100</v>
      </c>
      <c r="E15" s="688">
        <v>213</v>
      </c>
      <c r="F15" s="689"/>
      <c r="G15" s="689">
        <v>15.31</v>
      </c>
      <c r="H15" s="690">
        <v>1.0569999999999999</v>
      </c>
      <c r="I15" s="691">
        <f t="shared" si="0"/>
        <v>0</v>
      </c>
      <c r="J15" s="692">
        <f t="shared" si="1"/>
        <v>0</v>
      </c>
      <c r="K15" s="692">
        <v>0</v>
      </c>
      <c r="L15" s="692">
        <f t="shared" si="2"/>
        <v>0</v>
      </c>
      <c r="M15" s="693">
        <v>3.81</v>
      </c>
      <c r="N15" s="693">
        <v>0</v>
      </c>
      <c r="O15" s="691">
        <f t="shared" si="3"/>
        <v>0</v>
      </c>
      <c r="P15" s="688" t="s">
        <v>908</v>
      </c>
      <c r="Q15" s="694">
        <v>5295</v>
      </c>
      <c r="R15" s="688" t="s">
        <v>909</v>
      </c>
      <c r="S15" s="688" t="e">
        <f>+#REF!</f>
        <v>#REF!</v>
      </c>
      <c r="T15" s="688" t="s">
        <v>908</v>
      </c>
      <c r="U15" s="694">
        <v>5295</v>
      </c>
      <c r="V15" s="688" t="s">
        <v>909</v>
      </c>
      <c r="W15" s="695">
        <v>35074</v>
      </c>
      <c r="X15" s="696" t="s">
        <v>910</v>
      </c>
      <c r="Y15" s="688" t="s">
        <v>911</v>
      </c>
      <c r="Z15" s="688" t="s">
        <v>912</v>
      </c>
      <c r="AA15" s="688" t="s">
        <v>891</v>
      </c>
      <c r="AB15" s="688" t="s">
        <v>891</v>
      </c>
      <c r="AC15" s="688"/>
      <c r="AD15" s="688"/>
      <c r="AE15" s="689">
        <v>2080787.14</v>
      </c>
      <c r="AF15" s="693">
        <v>9.6300000000000008</v>
      </c>
      <c r="AG15" s="688" t="s">
        <v>891</v>
      </c>
      <c r="AH15" s="693">
        <v>9.6300000000000008</v>
      </c>
      <c r="AI15" s="697" t="s">
        <v>910</v>
      </c>
      <c r="AJ15" s="698" t="s">
        <v>913</v>
      </c>
      <c r="AK15" s="699">
        <f>G15*800</f>
        <v>12248</v>
      </c>
      <c r="AL15" s="685" t="s">
        <v>159</v>
      </c>
      <c r="AM15" s="699">
        <v>2500</v>
      </c>
      <c r="AN15" s="699">
        <v>1000</v>
      </c>
    </row>
    <row r="16" spans="1:41" x14ac:dyDescent="0.3">
      <c r="A16" s="669" t="s">
        <v>914</v>
      </c>
      <c r="B16" s="686" t="e">
        <f>+B15+1</f>
        <v>#REF!</v>
      </c>
      <c r="C16" s="687">
        <f t="shared" ref="C16:C52" si="5">+C15+1</f>
        <v>15</v>
      </c>
      <c r="D16" s="688">
        <v>100</v>
      </c>
      <c r="E16" s="688">
        <v>218</v>
      </c>
      <c r="F16" s="689"/>
      <c r="G16" s="689">
        <v>64.97</v>
      </c>
      <c r="H16" s="690">
        <v>1</v>
      </c>
      <c r="I16" s="691">
        <f t="shared" si="0"/>
        <v>0</v>
      </c>
      <c r="J16" s="692">
        <f t="shared" si="1"/>
        <v>0</v>
      </c>
      <c r="K16" s="692">
        <v>0</v>
      </c>
      <c r="L16" s="692">
        <f t="shared" si="2"/>
        <v>0</v>
      </c>
      <c r="M16" s="693">
        <v>1.91</v>
      </c>
      <c r="N16" s="693">
        <v>1.67</v>
      </c>
      <c r="O16" s="691">
        <f t="shared" si="3"/>
        <v>0</v>
      </c>
      <c r="P16" s="688" t="s">
        <v>908</v>
      </c>
      <c r="Q16" s="694">
        <v>5295</v>
      </c>
      <c r="R16" s="688" t="s">
        <v>909</v>
      </c>
      <c r="S16" s="688" t="e">
        <f>+#REF!</f>
        <v>#REF!</v>
      </c>
      <c r="T16" s="688" t="s">
        <v>915</v>
      </c>
      <c r="U16" s="694">
        <v>5295</v>
      </c>
      <c r="V16" s="688" t="s">
        <v>909</v>
      </c>
      <c r="W16" s="695">
        <v>37361</v>
      </c>
      <c r="X16" s="696" t="s">
        <v>910</v>
      </c>
      <c r="Y16" s="688" t="s">
        <v>916</v>
      </c>
      <c r="Z16" s="688" t="s">
        <v>917</v>
      </c>
      <c r="AA16" s="688" t="s">
        <v>891</v>
      </c>
      <c r="AB16" s="688" t="s">
        <v>891</v>
      </c>
      <c r="AC16" s="688"/>
      <c r="AD16" s="688"/>
      <c r="AE16" s="689">
        <v>8803015.2899999991</v>
      </c>
      <c r="AF16" s="693">
        <v>40.75</v>
      </c>
      <c r="AG16" s="688" t="s">
        <v>891</v>
      </c>
      <c r="AH16" s="693">
        <v>40.75</v>
      </c>
      <c r="AI16" s="697" t="s">
        <v>910</v>
      </c>
      <c r="AJ16" s="698" t="s">
        <v>918</v>
      </c>
      <c r="AK16" s="699">
        <f>G16*800</f>
        <v>51976</v>
      </c>
      <c r="AL16" s="685" t="s">
        <v>159</v>
      </c>
      <c r="AM16" s="699">
        <v>2500</v>
      </c>
      <c r="AN16" s="699">
        <v>1000</v>
      </c>
    </row>
    <row r="17" spans="1:40" x14ac:dyDescent="0.3">
      <c r="A17" s="669" t="s">
        <v>919</v>
      </c>
      <c r="B17" s="686" t="e">
        <f>+B16+1</f>
        <v>#REF!</v>
      </c>
      <c r="C17" s="687">
        <f t="shared" si="5"/>
        <v>16</v>
      </c>
      <c r="D17" s="688">
        <v>100</v>
      </c>
      <c r="E17" s="688">
        <v>232</v>
      </c>
      <c r="F17" s="689"/>
      <c r="G17" s="689">
        <v>52.78</v>
      </c>
      <c r="H17" s="690">
        <v>1</v>
      </c>
      <c r="I17" s="691">
        <f t="shared" si="0"/>
        <v>0</v>
      </c>
      <c r="J17" s="692">
        <f t="shared" si="1"/>
        <v>0</v>
      </c>
      <c r="K17" s="692">
        <v>0</v>
      </c>
      <c r="L17" s="692">
        <f t="shared" si="2"/>
        <v>0</v>
      </c>
      <c r="M17" s="693">
        <v>3.81</v>
      </c>
      <c r="N17" s="693">
        <v>0</v>
      </c>
      <c r="O17" s="691">
        <f t="shared" si="3"/>
        <v>0</v>
      </c>
      <c r="P17" s="688" t="s">
        <v>920</v>
      </c>
      <c r="Q17" s="694">
        <v>5000</v>
      </c>
      <c r="R17" s="688" t="s">
        <v>886</v>
      </c>
      <c r="S17" s="688" t="e">
        <f>+#REF!</f>
        <v>#REF!</v>
      </c>
      <c r="T17" s="688" t="s">
        <v>921</v>
      </c>
      <c r="U17" s="694">
        <v>5000</v>
      </c>
      <c r="V17" s="688" t="s">
        <v>886</v>
      </c>
      <c r="W17" s="695">
        <v>36039</v>
      </c>
      <c r="X17" s="696" t="s">
        <v>922</v>
      </c>
      <c r="Y17" s="688" t="s">
        <v>923</v>
      </c>
      <c r="Z17" s="688" t="s">
        <v>924</v>
      </c>
      <c r="AA17" s="688" t="s">
        <v>891</v>
      </c>
      <c r="AB17" s="688" t="s">
        <v>891</v>
      </c>
      <c r="AC17" s="688"/>
      <c r="AD17" s="688"/>
      <c r="AE17" s="689">
        <v>7610609.9900000002</v>
      </c>
      <c r="AF17" s="693">
        <v>4.33</v>
      </c>
      <c r="AG17" s="688" t="s">
        <v>891</v>
      </c>
      <c r="AH17" s="693">
        <v>4.33</v>
      </c>
      <c r="AI17" s="697" t="s">
        <v>922</v>
      </c>
      <c r="AJ17" s="698" t="s">
        <v>925</v>
      </c>
      <c r="AK17" s="699">
        <f>G17*950</f>
        <v>50141</v>
      </c>
      <c r="AL17" s="685" t="s">
        <v>159</v>
      </c>
      <c r="AM17" s="699">
        <v>2500</v>
      </c>
      <c r="AN17" s="699">
        <v>1000</v>
      </c>
    </row>
    <row r="18" spans="1:40" x14ac:dyDescent="0.3">
      <c r="A18" s="669" t="s">
        <v>926</v>
      </c>
      <c r="B18" s="686" t="e">
        <f>+B17+1</f>
        <v>#REF!</v>
      </c>
      <c r="C18" s="687">
        <f t="shared" si="5"/>
        <v>17</v>
      </c>
      <c r="D18" s="688">
        <v>100</v>
      </c>
      <c r="E18" s="688">
        <v>252</v>
      </c>
      <c r="F18" s="689"/>
      <c r="G18" s="689">
        <v>44.75</v>
      </c>
      <c r="H18" s="690">
        <v>1</v>
      </c>
      <c r="I18" s="691">
        <f t="shared" si="0"/>
        <v>0</v>
      </c>
      <c r="J18" s="692">
        <f t="shared" si="1"/>
        <v>0</v>
      </c>
      <c r="K18" s="692">
        <v>0</v>
      </c>
      <c r="L18" s="692">
        <f t="shared" si="2"/>
        <v>0</v>
      </c>
      <c r="M18" s="693">
        <v>3.81</v>
      </c>
      <c r="N18" s="693">
        <v>0</v>
      </c>
      <c r="O18" s="691">
        <f t="shared" si="3"/>
        <v>0</v>
      </c>
      <c r="P18" s="688" t="s">
        <v>927</v>
      </c>
      <c r="Q18" s="694">
        <v>5000</v>
      </c>
      <c r="R18" s="688" t="s">
        <v>886</v>
      </c>
      <c r="S18" s="688" t="e">
        <f>+#REF!</f>
        <v>#REF!</v>
      </c>
      <c r="T18" s="688" t="s">
        <v>928</v>
      </c>
      <c r="U18" s="694">
        <v>5000</v>
      </c>
      <c r="V18" s="688" t="s">
        <v>886</v>
      </c>
      <c r="W18" s="695">
        <v>34335</v>
      </c>
      <c r="X18" s="696" t="s">
        <v>929</v>
      </c>
      <c r="Y18" s="688" t="s">
        <v>930</v>
      </c>
      <c r="Z18" s="688" t="s">
        <v>931</v>
      </c>
      <c r="AA18" s="688" t="s">
        <v>891</v>
      </c>
      <c r="AB18" s="688" t="s">
        <v>891</v>
      </c>
      <c r="AC18" s="688"/>
      <c r="AD18" s="688"/>
      <c r="AE18" s="689">
        <v>7008993.8099999996</v>
      </c>
      <c r="AF18" s="693">
        <v>3.07</v>
      </c>
      <c r="AG18" s="688" t="s">
        <v>891</v>
      </c>
      <c r="AH18" s="693">
        <v>3.07</v>
      </c>
      <c r="AI18" s="697" t="s">
        <v>929</v>
      </c>
      <c r="AJ18" s="698" t="s">
        <v>932</v>
      </c>
      <c r="AK18" s="699">
        <f>G18*950</f>
        <v>42512.5</v>
      </c>
      <c r="AL18" s="685" t="s">
        <v>159</v>
      </c>
      <c r="AM18" s="699">
        <v>2500</v>
      </c>
      <c r="AN18" s="699">
        <v>1000</v>
      </c>
    </row>
    <row r="19" spans="1:40" x14ac:dyDescent="0.3">
      <c r="B19" s="686"/>
      <c r="C19" s="687">
        <v>18</v>
      </c>
      <c r="D19" s="688"/>
      <c r="E19" s="688"/>
      <c r="F19" s="689"/>
      <c r="G19" s="689">
        <v>71.84</v>
      </c>
      <c r="H19" s="690"/>
      <c r="I19" s="691"/>
      <c r="J19" s="692"/>
      <c r="K19" s="692"/>
      <c r="L19" s="692"/>
      <c r="M19" s="693"/>
      <c r="N19" s="693"/>
      <c r="O19" s="691"/>
      <c r="P19" s="688" t="s">
        <v>933</v>
      </c>
      <c r="Q19" s="694"/>
      <c r="R19" s="688"/>
      <c r="S19" s="688" t="e">
        <f>+#REF!</f>
        <v>#REF!</v>
      </c>
      <c r="T19" s="688"/>
      <c r="U19" s="694"/>
      <c r="V19" s="688"/>
      <c r="W19" s="695"/>
      <c r="X19" s="696"/>
      <c r="Y19" s="688"/>
      <c r="Z19" s="688"/>
      <c r="AA19" s="688"/>
      <c r="AB19" s="688"/>
      <c r="AC19" s="688"/>
      <c r="AD19" s="688"/>
      <c r="AE19" s="689"/>
      <c r="AF19" s="693"/>
      <c r="AG19" s="688"/>
      <c r="AH19" s="693"/>
      <c r="AI19" s="697">
        <v>1970</v>
      </c>
      <c r="AJ19" s="698" t="s">
        <v>934</v>
      </c>
      <c r="AK19" s="699">
        <f>G19*950</f>
        <v>68248</v>
      </c>
      <c r="AL19" s="685" t="s">
        <v>159</v>
      </c>
      <c r="AM19" s="699">
        <v>2500</v>
      </c>
      <c r="AN19" s="699">
        <v>1000</v>
      </c>
    </row>
    <row r="20" spans="1:40" x14ac:dyDescent="0.3">
      <c r="A20" s="669" t="s">
        <v>935</v>
      </c>
      <c r="B20" s="686" t="e">
        <f>+B18+1</f>
        <v>#REF!</v>
      </c>
      <c r="C20" s="687">
        <v>19</v>
      </c>
      <c r="D20" s="688">
        <v>100</v>
      </c>
      <c r="E20" s="688">
        <v>231</v>
      </c>
      <c r="F20" s="689"/>
      <c r="G20" s="689">
        <v>75.58</v>
      </c>
      <c r="H20" s="690">
        <v>0.96599999999999997</v>
      </c>
      <c r="I20" s="691">
        <f t="shared" si="0"/>
        <v>0</v>
      </c>
      <c r="J20" s="692">
        <f t="shared" si="1"/>
        <v>0</v>
      </c>
      <c r="K20" s="692">
        <v>0</v>
      </c>
      <c r="L20" s="692">
        <f t="shared" si="2"/>
        <v>0</v>
      </c>
      <c r="M20" s="693">
        <v>3.81</v>
      </c>
      <c r="N20" s="693">
        <v>0</v>
      </c>
      <c r="O20" s="691">
        <f t="shared" si="3"/>
        <v>0</v>
      </c>
      <c r="P20" s="688" t="s">
        <v>936</v>
      </c>
      <c r="Q20" s="694">
        <v>5000</v>
      </c>
      <c r="R20" s="688" t="s">
        <v>886</v>
      </c>
      <c r="S20" s="688" t="e">
        <f>+#REF!</f>
        <v>#REF!</v>
      </c>
      <c r="T20" s="688" t="s">
        <v>937</v>
      </c>
      <c r="U20" s="694">
        <v>5000</v>
      </c>
      <c r="V20" s="688" t="s">
        <v>886</v>
      </c>
      <c r="W20" s="695">
        <v>34335</v>
      </c>
      <c r="X20" s="696" t="s">
        <v>938</v>
      </c>
      <c r="Y20" s="688" t="s">
        <v>939</v>
      </c>
      <c r="Z20" s="688" t="s">
        <v>940</v>
      </c>
      <c r="AA20" s="688" t="s">
        <v>891</v>
      </c>
      <c r="AB20" s="688" t="s">
        <v>891</v>
      </c>
      <c r="AC20" s="688"/>
      <c r="AD20" s="688"/>
      <c r="AE20" s="689">
        <v>10166118.720000001</v>
      </c>
      <c r="AF20" s="693">
        <v>5.78</v>
      </c>
      <c r="AG20" s="688" t="s">
        <v>891</v>
      </c>
      <c r="AH20" s="693">
        <v>5.78</v>
      </c>
      <c r="AI20" s="697" t="s">
        <v>938</v>
      </c>
      <c r="AJ20" s="698" t="s">
        <v>941</v>
      </c>
      <c r="AK20" s="699">
        <f>G20*950</f>
        <v>71801</v>
      </c>
      <c r="AL20" s="685" t="s">
        <v>159</v>
      </c>
      <c r="AM20" s="699">
        <v>2500</v>
      </c>
      <c r="AN20" s="699">
        <v>1000</v>
      </c>
    </row>
    <row r="21" spans="1:40" x14ac:dyDescent="0.3">
      <c r="A21" s="669" t="s">
        <v>942</v>
      </c>
      <c r="B21" s="686" t="e">
        <f>+B20+1</f>
        <v>#REF!</v>
      </c>
      <c r="C21" s="687">
        <f t="shared" si="5"/>
        <v>20</v>
      </c>
      <c r="D21" s="688">
        <v>100</v>
      </c>
      <c r="E21" s="688">
        <v>258</v>
      </c>
      <c r="F21" s="689"/>
      <c r="G21" s="689">
        <v>45.53</v>
      </c>
      <c r="H21" s="690">
        <v>1.024</v>
      </c>
      <c r="I21" s="691">
        <f t="shared" si="0"/>
        <v>0</v>
      </c>
      <c r="J21" s="692">
        <f t="shared" si="1"/>
        <v>0</v>
      </c>
      <c r="K21" s="692">
        <v>0</v>
      </c>
      <c r="L21" s="692">
        <f t="shared" si="2"/>
        <v>0</v>
      </c>
      <c r="M21" s="693">
        <v>5.08</v>
      </c>
      <c r="N21" s="693">
        <v>0</v>
      </c>
      <c r="O21" s="691">
        <f t="shared" si="3"/>
        <v>0</v>
      </c>
      <c r="P21" s="688" t="s">
        <v>943</v>
      </c>
      <c r="Q21" s="694">
        <v>5000</v>
      </c>
      <c r="R21" s="688" t="s">
        <v>886</v>
      </c>
      <c r="S21" s="688" t="e">
        <f>+#REF!</f>
        <v>#REF!</v>
      </c>
      <c r="T21" s="688" t="s">
        <v>943</v>
      </c>
      <c r="U21" s="694">
        <v>5000</v>
      </c>
      <c r="V21" s="688" t="s">
        <v>886</v>
      </c>
      <c r="W21" s="695">
        <v>37307</v>
      </c>
      <c r="X21" s="696" t="s">
        <v>944</v>
      </c>
      <c r="Y21" s="688" t="s">
        <v>945</v>
      </c>
      <c r="Z21" s="688" t="s">
        <v>946</v>
      </c>
      <c r="AA21" s="688" t="s">
        <v>891</v>
      </c>
      <c r="AB21" s="688" t="s">
        <v>891</v>
      </c>
      <c r="AC21" s="688"/>
      <c r="AD21" s="688"/>
      <c r="AE21" s="689">
        <v>7476174.1399999997</v>
      </c>
      <c r="AF21" s="693">
        <v>1.49</v>
      </c>
      <c r="AG21" s="688" t="s">
        <v>891</v>
      </c>
      <c r="AH21" s="693">
        <v>1.49</v>
      </c>
      <c r="AI21" s="697" t="s">
        <v>944</v>
      </c>
      <c r="AJ21" s="698" t="s">
        <v>947</v>
      </c>
      <c r="AK21" s="699">
        <f t="shared" ref="AK21:AK48" si="6">G21*1000</f>
        <v>45530</v>
      </c>
      <c r="AL21" s="685" t="s">
        <v>159</v>
      </c>
      <c r="AM21" s="699">
        <v>2500</v>
      </c>
      <c r="AN21" s="699">
        <v>1000</v>
      </c>
    </row>
    <row r="22" spans="1:40" x14ac:dyDescent="0.3">
      <c r="B22" s="686"/>
      <c r="C22" s="687">
        <v>21</v>
      </c>
      <c r="D22" s="688"/>
      <c r="E22" s="688"/>
      <c r="F22" s="689"/>
      <c r="G22" s="689">
        <v>44.95</v>
      </c>
      <c r="H22" s="690"/>
      <c r="I22" s="691"/>
      <c r="J22" s="692"/>
      <c r="K22" s="692"/>
      <c r="L22" s="692"/>
      <c r="M22" s="693"/>
      <c r="N22" s="693"/>
      <c r="O22" s="691"/>
      <c r="P22" s="688" t="s">
        <v>943</v>
      </c>
      <c r="Q22" s="694"/>
      <c r="R22" s="688"/>
      <c r="S22" s="688" t="e">
        <f>+#REF!</f>
        <v>#REF!</v>
      </c>
      <c r="T22" s="688"/>
      <c r="U22" s="694"/>
      <c r="V22" s="688"/>
      <c r="W22" s="695"/>
      <c r="X22" s="696"/>
      <c r="Y22" s="688"/>
      <c r="Z22" s="688"/>
      <c r="AA22" s="688"/>
      <c r="AB22" s="688"/>
      <c r="AC22" s="688"/>
      <c r="AD22" s="688"/>
      <c r="AE22" s="689"/>
      <c r="AF22" s="693"/>
      <c r="AG22" s="688"/>
      <c r="AH22" s="693"/>
      <c r="AI22" s="697">
        <v>1975</v>
      </c>
      <c r="AJ22" s="698" t="s">
        <v>948</v>
      </c>
      <c r="AK22" s="699">
        <f t="shared" si="6"/>
        <v>44950</v>
      </c>
      <c r="AL22" s="685" t="s">
        <v>159</v>
      </c>
      <c r="AM22" s="699">
        <v>2500</v>
      </c>
      <c r="AN22" s="699">
        <v>1000</v>
      </c>
    </row>
    <row r="23" spans="1:40" x14ac:dyDescent="0.3">
      <c r="B23" s="686"/>
      <c r="C23" s="687">
        <v>22</v>
      </c>
      <c r="D23" s="688"/>
      <c r="E23" s="688"/>
      <c r="F23" s="689"/>
      <c r="G23" s="689">
        <v>46.12</v>
      </c>
      <c r="H23" s="690"/>
      <c r="I23" s="691"/>
      <c r="J23" s="692"/>
      <c r="K23" s="692"/>
      <c r="L23" s="692"/>
      <c r="M23" s="693"/>
      <c r="N23" s="693"/>
      <c r="O23" s="691"/>
      <c r="P23" s="688" t="s">
        <v>943</v>
      </c>
      <c r="Q23" s="694"/>
      <c r="R23" s="688"/>
      <c r="S23" s="688" t="e">
        <f>+#REF!</f>
        <v>#REF!</v>
      </c>
      <c r="T23" s="688"/>
      <c r="U23" s="694"/>
      <c r="V23" s="688"/>
      <c r="W23" s="695"/>
      <c r="X23" s="696"/>
      <c r="Y23" s="688"/>
      <c r="Z23" s="688"/>
      <c r="AA23" s="688"/>
      <c r="AB23" s="688"/>
      <c r="AC23" s="688"/>
      <c r="AD23" s="688"/>
      <c r="AE23" s="689"/>
      <c r="AF23" s="693"/>
      <c r="AG23" s="688"/>
      <c r="AH23" s="693"/>
      <c r="AI23" s="697">
        <v>1975</v>
      </c>
      <c r="AJ23" s="698" t="s">
        <v>949</v>
      </c>
      <c r="AK23" s="699">
        <f t="shared" si="6"/>
        <v>46120</v>
      </c>
      <c r="AL23" s="685" t="s">
        <v>159</v>
      </c>
      <c r="AM23" s="699">
        <v>2500</v>
      </c>
      <c r="AN23" s="699">
        <v>1000</v>
      </c>
    </row>
    <row r="24" spans="1:40" x14ac:dyDescent="0.3">
      <c r="A24" s="669" t="s">
        <v>950</v>
      </c>
      <c r="B24" s="686" t="e">
        <f>+B21+1</f>
        <v>#REF!</v>
      </c>
      <c r="C24" s="687">
        <v>23</v>
      </c>
      <c r="D24" s="688">
        <v>100</v>
      </c>
      <c r="E24" s="688">
        <v>248</v>
      </c>
      <c r="F24" s="689"/>
      <c r="G24" s="689">
        <v>45.52</v>
      </c>
      <c r="H24" s="690">
        <v>1.024</v>
      </c>
      <c r="I24" s="691">
        <f t="shared" si="0"/>
        <v>0</v>
      </c>
      <c r="J24" s="692">
        <f t="shared" si="1"/>
        <v>0</v>
      </c>
      <c r="K24" s="692">
        <v>0</v>
      </c>
      <c r="L24" s="692">
        <f t="shared" si="2"/>
        <v>0</v>
      </c>
      <c r="M24" s="693">
        <v>3.81</v>
      </c>
      <c r="N24" s="693">
        <v>0</v>
      </c>
      <c r="O24" s="691">
        <f t="shared" si="3"/>
        <v>0</v>
      </c>
      <c r="P24" s="688" t="s">
        <v>951</v>
      </c>
      <c r="Q24" s="694">
        <v>5000</v>
      </c>
      <c r="R24" s="688" t="s">
        <v>886</v>
      </c>
      <c r="S24" s="688" t="e">
        <f>+#REF!</f>
        <v>#REF!</v>
      </c>
      <c r="T24" s="688" t="s">
        <v>951</v>
      </c>
      <c r="U24" s="694">
        <v>5000</v>
      </c>
      <c r="V24" s="688" t="s">
        <v>886</v>
      </c>
      <c r="W24" s="695">
        <v>35431</v>
      </c>
      <c r="X24" s="696" t="s">
        <v>944</v>
      </c>
      <c r="Y24" s="688" t="s">
        <v>952</v>
      </c>
      <c r="Z24" s="688" t="s">
        <v>953</v>
      </c>
      <c r="AA24" s="688" t="s">
        <v>891</v>
      </c>
      <c r="AB24" s="688" t="s">
        <v>891</v>
      </c>
      <c r="AC24" s="688"/>
      <c r="AD24" s="688"/>
      <c r="AE24" s="689">
        <v>7184821.5599999996</v>
      </c>
      <c r="AF24" s="693">
        <v>1.4314439999999999</v>
      </c>
      <c r="AG24" s="688" t="s">
        <v>891</v>
      </c>
      <c r="AH24" s="693">
        <v>1.4314439999999999</v>
      </c>
      <c r="AI24" s="697" t="s">
        <v>944</v>
      </c>
      <c r="AJ24" s="698" t="s">
        <v>954</v>
      </c>
      <c r="AK24" s="699">
        <f t="shared" si="6"/>
        <v>45520</v>
      </c>
      <c r="AL24" s="685" t="s">
        <v>159</v>
      </c>
      <c r="AM24" s="699">
        <v>2500</v>
      </c>
      <c r="AN24" s="699">
        <v>1000</v>
      </c>
    </row>
    <row r="25" spans="1:40" x14ac:dyDescent="0.3">
      <c r="A25" s="669" t="s">
        <v>955</v>
      </c>
      <c r="B25" s="686" t="e">
        <f>+B24+1</f>
        <v>#REF!</v>
      </c>
      <c r="C25" s="687">
        <f t="shared" si="5"/>
        <v>24</v>
      </c>
      <c r="D25" s="688">
        <v>100</v>
      </c>
      <c r="E25" s="688">
        <v>258</v>
      </c>
      <c r="F25" s="689"/>
      <c r="G25" s="689">
        <v>45.81</v>
      </c>
      <c r="H25" s="690">
        <v>1.024</v>
      </c>
      <c r="I25" s="691">
        <f t="shared" si="0"/>
        <v>0</v>
      </c>
      <c r="J25" s="692">
        <f t="shared" si="1"/>
        <v>0</v>
      </c>
      <c r="K25" s="692">
        <v>0</v>
      </c>
      <c r="L25" s="692">
        <f t="shared" si="2"/>
        <v>0</v>
      </c>
      <c r="M25" s="693">
        <v>5.08</v>
      </c>
      <c r="N25" s="693">
        <v>0</v>
      </c>
      <c r="O25" s="691">
        <f t="shared" si="3"/>
        <v>0</v>
      </c>
      <c r="P25" s="688" t="s">
        <v>951</v>
      </c>
      <c r="Q25" s="694">
        <v>5000</v>
      </c>
      <c r="R25" s="688" t="s">
        <v>886</v>
      </c>
      <c r="S25" s="688" t="e">
        <f>+#REF!</f>
        <v>#REF!</v>
      </c>
      <c r="T25" s="688" t="s">
        <v>951</v>
      </c>
      <c r="U25" s="694">
        <v>5000</v>
      </c>
      <c r="V25" s="688" t="s">
        <v>886</v>
      </c>
      <c r="W25" s="695">
        <v>37773</v>
      </c>
      <c r="X25" s="696" t="s">
        <v>944</v>
      </c>
      <c r="Y25" s="688" t="s">
        <v>956</v>
      </c>
      <c r="Z25" s="688" t="s">
        <v>957</v>
      </c>
      <c r="AA25" s="688" t="s">
        <v>891</v>
      </c>
      <c r="AB25" s="688" t="s">
        <v>891</v>
      </c>
      <c r="AC25" s="688"/>
      <c r="AD25" s="688"/>
      <c r="AE25" s="689">
        <v>7522151.0499999998</v>
      </c>
      <c r="AF25" s="693">
        <v>1.498651</v>
      </c>
      <c r="AG25" s="688" t="s">
        <v>891</v>
      </c>
      <c r="AH25" s="693">
        <v>1.498651</v>
      </c>
      <c r="AI25" s="697" t="s">
        <v>944</v>
      </c>
      <c r="AJ25" s="698" t="s">
        <v>958</v>
      </c>
      <c r="AK25" s="699">
        <f t="shared" si="6"/>
        <v>45810</v>
      </c>
      <c r="AL25" s="685" t="s">
        <v>159</v>
      </c>
      <c r="AM25" s="699">
        <v>2500</v>
      </c>
      <c r="AN25" s="699">
        <v>1000</v>
      </c>
    </row>
    <row r="26" spans="1:40" x14ac:dyDescent="0.3">
      <c r="A26" s="669" t="s">
        <v>959</v>
      </c>
      <c r="B26" s="686" t="e">
        <f>+B25+1</f>
        <v>#REF!</v>
      </c>
      <c r="C26" s="687">
        <f t="shared" si="5"/>
        <v>25</v>
      </c>
      <c r="D26" s="688">
        <v>100</v>
      </c>
      <c r="E26" s="688">
        <v>248</v>
      </c>
      <c r="F26" s="689"/>
      <c r="G26" s="689">
        <v>47.22</v>
      </c>
      <c r="H26" s="690">
        <v>1.024</v>
      </c>
      <c r="I26" s="691">
        <f t="shared" si="0"/>
        <v>0</v>
      </c>
      <c r="J26" s="692">
        <f t="shared" si="1"/>
        <v>0</v>
      </c>
      <c r="K26" s="692">
        <v>0</v>
      </c>
      <c r="L26" s="692">
        <f t="shared" si="2"/>
        <v>0</v>
      </c>
      <c r="M26" s="693">
        <v>3.81</v>
      </c>
      <c r="N26" s="693">
        <v>0</v>
      </c>
      <c r="O26" s="691">
        <f t="shared" si="3"/>
        <v>0</v>
      </c>
      <c r="P26" s="688" t="s">
        <v>951</v>
      </c>
      <c r="Q26" s="694">
        <v>5000</v>
      </c>
      <c r="R26" s="688" t="s">
        <v>886</v>
      </c>
      <c r="S26" s="688" t="e">
        <f>+#REF!</f>
        <v>#REF!</v>
      </c>
      <c r="T26" s="688" t="s">
        <v>951</v>
      </c>
      <c r="U26" s="694">
        <v>5000</v>
      </c>
      <c r="V26" s="688" t="s">
        <v>886</v>
      </c>
      <c r="W26" s="695">
        <v>34820</v>
      </c>
      <c r="X26" s="696" t="s">
        <v>944</v>
      </c>
      <c r="Y26" s="688" t="s">
        <v>960</v>
      </c>
      <c r="Z26" s="688" t="s">
        <v>961</v>
      </c>
      <c r="AA26" s="688" t="s">
        <v>891</v>
      </c>
      <c r="AB26" s="688" t="s">
        <v>891</v>
      </c>
      <c r="AC26" s="688"/>
      <c r="AD26" s="688"/>
      <c r="AE26" s="689">
        <v>7453147.5</v>
      </c>
      <c r="AF26" s="693">
        <v>1.4849030000000001</v>
      </c>
      <c r="AG26" s="688" t="s">
        <v>891</v>
      </c>
      <c r="AH26" s="693">
        <v>1.4849030000000001</v>
      </c>
      <c r="AI26" s="697" t="s">
        <v>944</v>
      </c>
      <c r="AJ26" s="698" t="s">
        <v>962</v>
      </c>
      <c r="AK26" s="699">
        <f t="shared" si="6"/>
        <v>47220</v>
      </c>
      <c r="AL26" s="685" t="s">
        <v>159</v>
      </c>
      <c r="AM26" s="699">
        <v>2500</v>
      </c>
      <c r="AN26" s="699">
        <v>1000</v>
      </c>
    </row>
    <row r="27" spans="1:40" x14ac:dyDescent="0.3">
      <c r="A27" s="669" t="s">
        <v>963</v>
      </c>
      <c r="B27" s="686" t="e">
        <f>+#REF!+1</f>
        <v>#REF!</v>
      </c>
      <c r="C27" s="687">
        <v>26</v>
      </c>
      <c r="D27" s="688">
        <v>100</v>
      </c>
      <c r="E27" s="688">
        <v>276</v>
      </c>
      <c r="F27" s="689"/>
      <c r="G27" s="689">
        <v>42.8</v>
      </c>
      <c r="H27" s="690">
        <v>1.024</v>
      </c>
      <c r="I27" s="691">
        <f t="shared" si="0"/>
        <v>0</v>
      </c>
      <c r="J27" s="692">
        <f t="shared" si="1"/>
        <v>0</v>
      </c>
      <c r="K27" s="692">
        <v>0</v>
      </c>
      <c r="L27" s="692">
        <f t="shared" si="2"/>
        <v>0</v>
      </c>
      <c r="M27" s="693">
        <v>6.35</v>
      </c>
      <c r="N27" s="693">
        <v>0</v>
      </c>
      <c r="O27" s="691">
        <f t="shared" si="3"/>
        <v>0</v>
      </c>
      <c r="P27" s="688" t="s">
        <v>964</v>
      </c>
      <c r="Q27" s="694">
        <v>5000</v>
      </c>
      <c r="R27" s="688" t="s">
        <v>886</v>
      </c>
      <c r="S27" s="688" t="e">
        <f>+#REF!</f>
        <v>#REF!</v>
      </c>
      <c r="T27" s="688" t="s">
        <v>964</v>
      </c>
      <c r="U27" s="694">
        <v>5000</v>
      </c>
      <c r="V27" s="688" t="s">
        <v>886</v>
      </c>
      <c r="W27" s="695">
        <v>37803</v>
      </c>
      <c r="X27" s="696" t="s">
        <v>965</v>
      </c>
      <c r="Y27" s="688" t="s">
        <v>966</v>
      </c>
      <c r="Z27" s="688" t="s">
        <v>967</v>
      </c>
      <c r="AA27" s="688" t="s">
        <v>891</v>
      </c>
      <c r="AB27" s="688" t="s">
        <v>891</v>
      </c>
      <c r="AC27" s="688"/>
      <c r="AD27" s="688"/>
      <c r="AE27" s="689">
        <v>7047450.9000000004</v>
      </c>
      <c r="AF27" s="693">
        <v>1.2521409999999999</v>
      </c>
      <c r="AG27" s="688" t="s">
        <v>891</v>
      </c>
      <c r="AH27" s="693">
        <v>1.2521409999999999</v>
      </c>
      <c r="AI27" s="697" t="s">
        <v>965</v>
      </c>
      <c r="AJ27" s="698" t="s">
        <v>968</v>
      </c>
      <c r="AK27" s="699">
        <f t="shared" si="6"/>
        <v>42800</v>
      </c>
      <c r="AL27" s="685" t="s">
        <v>159</v>
      </c>
      <c r="AM27" s="699">
        <v>2500</v>
      </c>
      <c r="AN27" s="699">
        <v>1000</v>
      </c>
    </row>
    <row r="28" spans="1:40" x14ac:dyDescent="0.3">
      <c r="B28" s="686"/>
      <c r="C28" s="687">
        <v>27</v>
      </c>
      <c r="D28" s="688"/>
      <c r="E28" s="688"/>
      <c r="F28" s="689"/>
      <c r="G28" s="689">
        <v>69.97</v>
      </c>
      <c r="H28" s="690"/>
      <c r="I28" s="691"/>
      <c r="J28" s="692"/>
      <c r="K28" s="692"/>
      <c r="L28" s="692"/>
      <c r="M28" s="693"/>
      <c r="N28" s="693"/>
      <c r="O28" s="691"/>
      <c r="P28" s="688" t="s">
        <v>969</v>
      </c>
      <c r="Q28" s="694"/>
      <c r="R28" s="688"/>
      <c r="S28" s="688" t="e">
        <f>+#REF!</f>
        <v>#REF!</v>
      </c>
      <c r="T28" s="688"/>
      <c r="U28" s="694"/>
      <c r="V28" s="688"/>
      <c r="W28" s="695"/>
      <c r="X28" s="696"/>
      <c r="Y28" s="688"/>
      <c r="Z28" s="688"/>
      <c r="AA28" s="688"/>
      <c r="AB28" s="688"/>
      <c r="AC28" s="688"/>
      <c r="AD28" s="688"/>
      <c r="AE28" s="689"/>
      <c r="AF28" s="693"/>
      <c r="AG28" s="688"/>
      <c r="AH28" s="693"/>
      <c r="AI28" s="697">
        <v>1981</v>
      </c>
      <c r="AJ28" s="698" t="s">
        <v>970</v>
      </c>
      <c r="AK28" s="699">
        <f t="shared" si="6"/>
        <v>69970</v>
      </c>
      <c r="AL28" s="685" t="s">
        <v>159</v>
      </c>
      <c r="AM28" s="699">
        <v>2500</v>
      </c>
      <c r="AN28" s="699">
        <v>1000</v>
      </c>
    </row>
    <row r="29" spans="1:40" x14ac:dyDescent="0.3">
      <c r="A29" s="669" t="s">
        <v>971</v>
      </c>
      <c r="B29" s="686" t="e">
        <f>+B27+1</f>
        <v>#REF!</v>
      </c>
      <c r="C29" s="687">
        <v>28</v>
      </c>
      <c r="D29" s="688">
        <v>100</v>
      </c>
      <c r="E29" s="688">
        <v>262</v>
      </c>
      <c r="F29" s="689"/>
      <c r="G29" s="689">
        <v>44.34</v>
      </c>
      <c r="H29" s="690">
        <v>1.024</v>
      </c>
      <c r="I29" s="691">
        <f t="shared" si="0"/>
        <v>0</v>
      </c>
      <c r="J29" s="692">
        <f t="shared" si="1"/>
        <v>0</v>
      </c>
      <c r="K29" s="692">
        <v>0</v>
      </c>
      <c r="L29" s="692">
        <f t="shared" si="2"/>
        <v>0</v>
      </c>
      <c r="M29" s="693">
        <v>3.81</v>
      </c>
      <c r="N29" s="693">
        <v>0</v>
      </c>
      <c r="O29" s="691">
        <f t="shared" si="3"/>
        <v>0</v>
      </c>
      <c r="P29" s="688" t="s">
        <v>972</v>
      </c>
      <c r="Q29" s="694">
        <v>5000</v>
      </c>
      <c r="R29" s="688" t="s">
        <v>886</v>
      </c>
      <c r="S29" s="688" t="e">
        <f>+#REF!</f>
        <v>#REF!</v>
      </c>
      <c r="T29" s="688" t="s">
        <v>972</v>
      </c>
      <c r="U29" s="694">
        <v>5000</v>
      </c>
      <c r="V29" s="688" t="s">
        <v>886</v>
      </c>
      <c r="W29" s="695">
        <v>34469</v>
      </c>
      <c r="X29" s="696" t="s">
        <v>973</v>
      </c>
      <c r="Y29" s="688" t="s">
        <v>974</v>
      </c>
      <c r="Z29" s="688" t="s">
        <v>975</v>
      </c>
      <c r="AA29" s="688" t="s">
        <v>891</v>
      </c>
      <c r="AB29" s="688" t="s">
        <v>891</v>
      </c>
      <c r="AC29" s="688"/>
      <c r="AD29" s="688"/>
      <c r="AE29" s="689">
        <v>7235240.8700000001</v>
      </c>
      <c r="AF29" s="693">
        <v>2.2200000000000002</v>
      </c>
      <c r="AG29" s="688" t="s">
        <v>891</v>
      </c>
      <c r="AH29" s="693">
        <v>2.2200000000000002</v>
      </c>
      <c r="AI29" s="697" t="s">
        <v>973</v>
      </c>
      <c r="AJ29" s="698" t="s">
        <v>976</v>
      </c>
      <c r="AK29" s="699">
        <f t="shared" si="6"/>
        <v>44340</v>
      </c>
      <c r="AL29" s="685" t="s">
        <v>159</v>
      </c>
      <c r="AM29" s="699">
        <v>2500</v>
      </c>
      <c r="AN29" s="699">
        <v>1000</v>
      </c>
    </row>
    <row r="30" spans="1:40" x14ac:dyDescent="0.3">
      <c r="B30" s="686"/>
      <c r="C30" s="687">
        <f t="shared" si="5"/>
        <v>29</v>
      </c>
      <c r="D30" s="688"/>
      <c r="E30" s="688"/>
      <c r="F30" s="689"/>
      <c r="G30" s="689">
        <v>56.63</v>
      </c>
      <c r="H30" s="690"/>
      <c r="I30" s="691"/>
      <c r="J30" s="692"/>
      <c r="K30" s="692"/>
      <c r="L30" s="692"/>
      <c r="M30" s="693"/>
      <c r="N30" s="693"/>
      <c r="O30" s="691"/>
      <c r="P30" s="688" t="s">
        <v>972</v>
      </c>
      <c r="Q30" s="694"/>
      <c r="R30" s="688"/>
      <c r="S30" s="688" t="e">
        <f>+#REF!</f>
        <v>#REF!</v>
      </c>
      <c r="T30" s="688"/>
      <c r="U30" s="694"/>
      <c r="V30" s="688"/>
      <c r="W30" s="695"/>
      <c r="X30" s="696"/>
      <c r="Y30" s="688"/>
      <c r="Z30" s="688"/>
      <c r="AA30" s="688"/>
      <c r="AB30" s="688"/>
      <c r="AC30" s="688"/>
      <c r="AD30" s="688"/>
      <c r="AE30" s="689"/>
      <c r="AF30" s="693"/>
      <c r="AG30" s="688"/>
      <c r="AH30" s="693"/>
      <c r="AI30" s="697" t="s">
        <v>973</v>
      </c>
      <c r="AJ30" s="698" t="s">
        <v>977</v>
      </c>
      <c r="AK30" s="699">
        <f t="shared" si="6"/>
        <v>56630</v>
      </c>
      <c r="AL30" s="685" t="s">
        <v>159</v>
      </c>
      <c r="AM30" s="699">
        <v>2500</v>
      </c>
      <c r="AN30" s="699">
        <v>1000</v>
      </c>
    </row>
    <row r="31" spans="1:40" x14ac:dyDescent="0.3">
      <c r="A31" s="669" t="s">
        <v>978</v>
      </c>
      <c r="B31" s="686" t="e">
        <f>+B29+1</f>
        <v>#REF!</v>
      </c>
      <c r="C31" s="687">
        <f t="shared" si="5"/>
        <v>30</v>
      </c>
      <c r="D31" s="688">
        <v>100</v>
      </c>
      <c r="E31" s="688">
        <v>255</v>
      </c>
      <c r="F31" s="689"/>
      <c r="G31" s="689">
        <v>55.53</v>
      </c>
      <c r="H31" s="690">
        <v>1</v>
      </c>
      <c r="I31" s="691">
        <f t="shared" si="0"/>
        <v>0</v>
      </c>
      <c r="J31" s="692">
        <f t="shared" si="1"/>
        <v>0</v>
      </c>
      <c r="K31" s="692">
        <v>0</v>
      </c>
      <c r="L31" s="692">
        <f t="shared" si="2"/>
        <v>0</v>
      </c>
      <c r="M31" s="693">
        <v>3.81</v>
      </c>
      <c r="N31" s="693">
        <v>0</v>
      </c>
      <c r="O31" s="691">
        <f t="shared" si="3"/>
        <v>0</v>
      </c>
      <c r="P31" s="688" t="s">
        <v>979</v>
      </c>
      <c r="Q31" s="694">
        <v>5000</v>
      </c>
      <c r="R31" s="688" t="s">
        <v>886</v>
      </c>
      <c r="S31" s="688" t="e">
        <f>+#REF!</f>
        <v>#REF!</v>
      </c>
      <c r="T31" s="688" t="s">
        <v>980</v>
      </c>
      <c r="U31" s="694">
        <v>5000</v>
      </c>
      <c r="V31" s="688" t="s">
        <v>886</v>
      </c>
      <c r="W31" s="695">
        <v>35490</v>
      </c>
      <c r="X31" s="696" t="s">
        <v>973</v>
      </c>
      <c r="Y31" s="688" t="s">
        <v>981</v>
      </c>
      <c r="Z31" s="688" t="s">
        <v>982</v>
      </c>
      <c r="AA31" s="688" t="s">
        <v>891</v>
      </c>
      <c r="AB31" s="688" t="s">
        <v>891</v>
      </c>
      <c r="AC31" s="688"/>
      <c r="AD31" s="688"/>
      <c r="AE31" s="689">
        <v>8800958.0299999993</v>
      </c>
      <c r="AF31" s="693">
        <v>2.7930489999999999</v>
      </c>
      <c r="AG31" s="688" t="s">
        <v>891</v>
      </c>
      <c r="AH31" s="693">
        <v>2.7930489999999999</v>
      </c>
      <c r="AI31" s="697" t="s">
        <v>973</v>
      </c>
      <c r="AJ31" s="698" t="s">
        <v>983</v>
      </c>
      <c r="AK31" s="699">
        <f t="shared" si="6"/>
        <v>55530</v>
      </c>
      <c r="AL31" s="685" t="s">
        <v>159</v>
      </c>
      <c r="AM31" s="699">
        <v>2500</v>
      </c>
      <c r="AN31" s="699">
        <v>1000</v>
      </c>
    </row>
    <row r="32" spans="1:40" x14ac:dyDescent="0.3">
      <c r="B32" s="686"/>
      <c r="C32" s="687">
        <v>31</v>
      </c>
      <c r="D32" s="688"/>
      <c r="E32" s="688"/>
      <c r="F32" s="689"/>
      <c r="G32" s="689">
        <v>56.26</v>
      </c>
      <c r="H32" s="690"/>
      <c r="I32" s="691"/>
      <c r="J32" s="692"/>
      <c r="K32" s="692"/>
      <c r="L32" s="692"/>
      <c r="M32" s="693"/>
      <c r="N32" s="693"/>
      <c r="O32" s="691"/>
      <c r="P32" s="688" t="s">
        <v>984</v>
      </c>
      <c r="Q32" s="694"/>
      <c r="R32" s="688"/>
      <c r="S32" s="688" t="e">
        <f>+#REF!</f>
        <v>#REF!</v>
      </c>
      <c r="T32" s="688"/>
      <c r="U32" s="694"/>
      <c r="V32" s="688"/>
      <c r="W32" s="695"/>
      <c r="X32" s="696"/>
      <c r="Y32" s="688"/>
      <c r="Z32" s="688"/>
      <c r="AA32" s="688"/>
      <c r="AB32" s="688"/>
      <c r="AC32" s="688"/>
      <c r="AD32" s="688"/>
      <c r="AE32" s="689"/>
      <c r="AF32" s="693"/>
      <c r="AG32" s="688"/>
      <c r="AH32" s="693"/>
      <c r="AI32" s="697">
        <v>1972</v>
      </c>
      <c r="AJ32" s="698" t="s">
        <v>985</v>
      </c>
      <c r="AK32" s="699">
        <f t="shared" si="6"/>
        <v>56260</v>
      </c>
      <c r="AL32" s="685" t="s">
        <v>159</v>
      </c>
      <c r="AM32" s="699">
        <v>2500</v>
      </c>
      <c r="AN32" s="699">
        <v>1000</v>
      </c>
    </row>
    <row r="33" spans="1:40" x14ac:dyDescent="0.3">
      <c r="A33" s="669" t="s">
        <v>986</v>
      </c>
      <c r="B33" s="686" t="e">
        <f>+B31+1</f>
        <v>#REF!</v>
      </c>
      <c r="C33" s="687">
        <v>32</v>
      </c>
      <c r="D33" s="688">
        <v>100</v>
      </c>
      <c r="E33" s="688">
        <v>248</v>
      </c>
      <c r="F33" s="689"/>
      <c r="G33" s="689">
        <v>64.599999999999994</v>
      </c>
      <c r="H33" s="690">
        <v>1</v>
      </c>
      <c r="I33" s="691">
        <f t="shared" si="0"/>
        <v>0</v>
      </c>
      <c r="J33" s="692">
        <f t="shared" si="1"/>
        <v>0</v>
      </c>
      <c r="K33" s="692">
        <v>0</v>
      </c>
      <c r="L33" s="692">
        <f t="shared" si="2"/>
        <v>0</v>
      </c>
      <c r="M33" s="693">
        <v>3.81</v>
      </c>
      <c r="N33" s="693">
        <v>0</v>
      </c>
      <c r="O33" s="691">
        <f t="shared" si="3"/>
        <v>0</v>
      </c>
      <c r="P33" s="688" t="s">
        <v>987</v>
      </c>
      <c r="Q33" s="694">
        <v>5000</v>
      </c>
      <c r="R33" s="688" t="s">
        <v>886</v>
      </c>
      <c r="S33" s="688" t="e">
        <f>+#REF!</f>
        <v>#REF!</v>
      </c>
      <c r="T33" s="688" t="s">
        <v>987</v>
      </c>
      <c r="U33" s="694">
        <v>5000</v>
      </c>
      <c r="V33" s="688" t="s">
        <v>886</v>
      </c>
      <c r="W33" s="695">
        <v>34335</v>
      </c>
      <c r="X33" s="696" t="s">
        <v>754</v>
      </c>
      <c r="Y33" s="688" t="s">
        <v>988</v>
      </c>
      <c r="Z33" s="688" t="s">
        <v>989</v>
      </c>
      <c r="AA33" s="688" t="s">
        <v>891</v>
      </c>
      <c r="AB33" s="688" t="s">
        <v>891</v>
      </c>
      <c r="AC33" s="688"/>
      <c r="AD33" s="688"/>
      <c r="AE33" s="689">
        <v>9957407.8200000003</v>
      </c>
      <c r="AF33" s="693">
        <v>3.1143679999999998</v>
      </c>
      <c r="AG33" s="688" t="s">
        <v>891</v>
      </c>
      <c r="AH33" s="693">
        <v>3.1143679999999998</v>
      </c>
      <c r="AI33" s="697" t="s">
        <v>754</v>
      </c>
      <c r="AJ33" s="698" t="s">
        <v>990</v>
      </c>
      <c r="AK33" s="699">
        <f t="shared" si="6"/>
        <v>64599.999999999993</v>
      </c>
      <c r="AL33" s="685" t="s">
        <v>159</v>
      </c>
      <c r="AM33" s="699">
        <v>2500</v>
      </c>
      <c r="AN33" s="699">
        <v>1000</v>
      </c>
    </row>
    <row r="34" spans="1:40" x14ac:dyDescent="0.3">
      <c r="A34" s="669" t="s">
        <v>991</v>
      </c>
      <c r="B34" s="686" t="e">
        <f>+B33+1</f>
        <v>#REF!</v>
      </c>
      <c r="C34" s="687">
        <f t="shared" si="5"/>
        <v>33</v>
      </c>
      <c r="D34" s="688">
        <v>100</v>
      </c>
      <c r="E34" s="688">
        <v>258</v>
      </c>
      <c r="F34" s="689"/>
      <c r="G34" s="689">
        <v>67.97</v>
      </c>
      <c r="H34" s="690">
        <v>0.96599999999999997</v>
      </c>
      <c r="I34" s="691">
        <f t="shared" si="0"/>
        <v>0</v>
      </c>
      <c r="J34" s="692">
        <f t="shared" si="1"/>
        <v>0</v>
      </c>
      <c r="K34" s="692">
        <v>0</v>
      </c>
      <c r="L34" s="692">
        <f t="shared" si="2"/>
        <v>0</v>
      </c>
      <c r="M34" s="693">
        <v>3.81</v>
      </c>
      <c r="N34" s="693">
        <v>0</v>
      </c>
      <c r="O34" s="691">
        <f t="shared" si="3"/>
        <v>0</v>
      </c>
      <c r="P34" s="688" t="s">
        <v>992</v>
      </c>
      <c r="Q34" s="694">
        <v>5000</v>
      </c>
      <c r="R34" s="688" t="s">
        <v>886</v>
      </c>
      <c r="S34" s="688" t="e">
        <f>+#REF!</f>
        <v>#REF!</v>
      </c>
      <c r="T34" s="688" t="s">
        <v>992</v>
      </c>
      <c r="U34" s="694">
        <v>5000</v>
      </c>
      <c r="V34" s="688" t="s">
        <v>886</v>
      </c>
      <c r="W34" s="695">
        <v>34335</v>
      </c>
      <c r="X34" s="696" t="s">
        <v>993</v>
      </c>
      <c r="Y34" s="688" t="s">
        <v>994</v>
      </c>
      <c r="Z34" s="688" t="s">
        <v>995</v>
      </c>
      <c r="AA34" s="688" t="s">
        <v>891</v>
      </c>
      <c r="AB34" s="688" t="s">
        <v>891</v>
      </c>
      <c r="AC34" s="688"/>
      <c r="AD34" s="688"/>
      <c r="AE34" s="689">
        <v>10353695.050000001</v>
      </c>
      <c r="AF34" s="693">
        <v>2.0499999999999998</v>
      </c>
      <c r="AG34" s="688" t="s">
        <v>891</v>
      </c>
      <c r="AH34" s="693">
        <v>2.0499999999999998</v>
      </c>
      <c r="AI34" s="697" t="s">
        <v>993</v>
      </c>
      <c r="AJ34" s="698" t="s">
        <v>996</v>
      </c>
      <c r="AK34" s="699">
        <f t="shared" si="6"/>
        <v>67970</v>
      </c>
      <c r="AL34" s="685" t="s">
        <v>159</v>
      </c>
      <c r="AM34" s="699">
        <v>2500</v>
      </c>
      <c r="AN34" s="699">
        <v>1000</v>
      </c>
    </row>
    <row r="35" spans="1:40" x14ac:dyDescent="0.3">
      <c r="B35" s="686"/>
      <c r="C35" s="687">
        <v>34</v>
      </c>
      <c r="D35" s="688"/>
      <c r="E35" s="688"/>
      <c r="F35" s="689"/>
      <c r="G35" s="689">
        <v>67.75</v>
      </c>
      <c r="H35" s="690"/>
      <c r="I35" s="691"/>
      <c r="J35" s="692"/>
      <c r="K35" s="692"/>
      <c r="L35" s="692"/>
      <c r="M35" s="693"/>
      <c r="N35" s="693"/>
      <c r="O35" s="691"/>
      <c r="P35" s="688" t="s">
        <v>992</v>
      </c>
      <c r="Q35" s="694"/>
      <c r="R35" s="688"/>
      <c r="S35" s="688" t="e">
        <f>+#REF!</f>
        <v>#REF!</v>
      </c>
      <c r="T35" s="688"/>
      <c r="U35" s="694"/>
      <c r="V35" s="688"/>
      <c r="W35" s="695"/>
      <c r="X35" s="696"/>
      <c r="Y35" s="688"/>
      <c r="Z35" s="688"/>
      <c r="AA35" s="688"/>
      <c r="AB35" s="688"/>
      <c r="AC35" s="688"/>
      <c r="AD35" s="688"/>
      <c r="AE35" s="689"/>
      <c r="AF35" s="693"/>
      <c r="AG35" s="688"/>
      <c r="AH35" s="693"/>
      <c r="AI35" s="697">
        <v>1976</v>
      </c>
      <c r="AJ35" s="698" t="s">
        <v>997</v>
      </c>
      <c r="AK35" s="699">
        <f t="shared" si="6"/>
        <v>67750</v>
      </c>
      <c r="AL35" s="685" t="s">
        <v>159</v>
      </c>
      <c r="AM35" s="699">
        <v>2500</v>
      </c>
      <c r="AN35" s="699">
        <v>1000</v>
      </c>
    </row>
    <row r="36" spans="1:40" x14ac:dyDescent="0.3">
      <c r="A36" s="669" t="s">
        <v>998</v>
      </c>
      <c r="B36" s="686" t="e">
        <f>+B34+1</f>
        <v>#REF!</v>
      </c>
      <c r="C36" s="687">
        <v>35</v>
      </c>
      <c r="D36" s="688">
        <v>100</v>
      </c>
      <c r="E36" s="688">
        <v>258</v>
      </c>
      <c r="F36" s="689"/>
      <c r="G36" s="689">
        <v>44.84</v>
      </c>
      <c r="H36" s="690">
        <v>1.024</v>
      </c>
      <c r="I36" s="691">
        <f t="shared" si="0"/>
        <v>0</v>
      </c>
      <c r="J36" s="692">
        <f t="shared" si="1"/>
        <v>0</v>
      </c>
      <c r="K36" s="692">
        <v>0</v>
      </c>
      <c r="L36" s="692">
        <f t="shared" si="2"/>
        <v>0</v>
      </c>
      <c r="M36" s="693">
        <v>3.81</v>
      </c>
      <c r="N36" s="693"/>
      <c r="O36" s="691">
        <f t="shared" si="3"/>
        <v>0</v>
      </c>
      <c r="P36" s="688" t="s">
        <v>999</v>
      </c>
      <c r="Q36" s="694">
        <v>5000</v>
      </c>
      <c r="R36" s="688" t="s">
        <v>886</v>
      </c>
      <c r="S36" s="688" t="e">
        <f>+#REF!</f>
        <v>#REF!</v>
      </c>
      <c r="T36" s="688" t="s">
        <v>999</v>
      </c>
      <c r="U36" s="694">
        <v>5000</v>
      </c>
      <c r="V36" s="688" t="s">
        <v>886</v>
      </c>
      <c r="W36" s="695">
        <v>34335</v>
      </c>
      <c r="X36" s="696" t="s">
        <v>944</v>
      </c>
      <c r="Y36" s="688" t="s">
        <v>1000</v>
      </c>
      <c r="Z36" s="688" t="s">
        <v>1001</v>
      </c>
      <c r="AA36" s="688" t="s">
        <v>891</v>
      </c>
      <c r="AB36" s="688" t="s">
        <v>891</v>
      </c>
      <c r="AC36" s="688"/>
      <c r="AD36" s="688"/>
      <c r="AE36" s="689">
        <v>7362873.9000000004</v>
      </c>
      <c r="AF36" s="693">
        <v>1.487242</v>
      </c>
      <c r="AG36" s="688" t="s">
        <v>891</v>
      </c>
      <c r="AH36" s="693">
        <v>1.487242</v>
      </c>
      <c r="AI36" s="697" t="s">
        <v>944</v>
      </c>
      <c r="AJ36" s="698" t="s">
        <v>1002</v>
      </c>
      <c r="AK36" s="699">
        <f t="shared" si="6"/>
        <v>44840</v>
      </c>
      <c r="AL36" s="685" t="s">
        <v>159</v>
      </c>
      <c r="AM36" s="699">
        <v>2500</v>
      </c>
      <c r="AN36" s="699">
        <v>1000</v>
      </c>
    </row>
    <row r="37" spans="1:40" x14ac:dyDescent="0.3">
      <c r="A37" s="669" t="s">
        <v>1003</v>
      </c>
      <c r="B37" s="686" t="e">
        <f>+B36+1</f>
        <v>#REF!</v>
      </c>
      <c r="C37" s="687">
        <f t="shared" si="5"/>
        <v>36</v>
      </c>
      <c r="D37" s="688">
        <v>100</v>
      </c>
      <c r="E37" s="688">
        <v>258</v>
      </c>
      <c r="F37" s="689"/>
      <c r="G37" s="689">
        <v>45</v>
      </c>
      <c r="H37" s="690">
        <v>1.024</v>
      </c>
      <c r="I37" s="691">
        <f t="shared" si="0"/>
        <v>0</v>
      </c>
      <c r="J37" s="692">
        <f t="shared" si="1"/>
        <v>0</v>
      </c>
      <c r="K37" s="692">
        <v>0</v>
      </c>
      <c r="L37" s="692">
        <f t="shared" si="2"/>
        <v>0</v>
      </c>
      <c r="M37" s="693">
        <v>1.3943700000000001</v>
      </c>
      <c r="N37" s="693">
        <v>1.21916</v>
      </c>
      <c r="O37" s="691">
        <f t="shared" si="3"/>
        <v>0</v>
      </c>
      <c r="P37" s="688" t="s">
        <v>999</v>
      </c>
      <c r="Q37" s="694">
        <v>5000</v>
      </c>
      <c r="R37" s="688" t="s">
        <v>886</v>
      </c>
      <c r="S37" s="688" t="e">
        <f>+#REF!</f>
        <v>#REF!</v>
      </c>
      <c r="T37" s="688" t="s">
        <v>999</v>
      </c>
      <c r="U37" s="694">
        <v>5000</v>
      </c>
      <c r="V37" s="688" t="s">
        <v>886</v>
      </c>
      <c r="W37" s="695">
        <v>35626</v>
      </c>
      <c r="X37" s="696" t="s">
        <v>944</v>
      </c>
      <c r="Y37" s="688" t="s">
        <v>1004</v>
      </c>
      <c r="Z37" s="688" t="s">
        <v>1005</v>
      </c>
      <c r="AA37" s="688" t="s">
        <v>891</v>
      </c>
      <c r="AB37" s="688" t="s">
        <v>891</v>
      </c>
      <c r="AC37" s="688"/>
      <c r="AD37" s="688"/>
      <c r="AE37" s="689">
        <v>7389146.4199999999</v>
      </c>
      <c r="AF37" s="693">
        <v>1.4925489999999999</v>
      </c>
      <c r="AG37" s="688" t="s">
        <v>891</v>
      </c>
      <c r="AH37" s="693">
        <v>1.4925489999999999</v>
      </c>
      <c r="AI37" s="697" t="s">
        <v>944</v>
      </c>
      <c r="AJ37" s="698" t="s">
        <v>1006</v>
      </c>
      <c r="AK37" s="699">
        <f t="shared" si="6"/>
        <v>45000</v>
      </c>
      <c r="AL37" s="685" t="s">
        <v>159</v>
      </c>
      <c r="AM37" s="699">
        <v>2500</v>
      </c>
      <c r="AN37" s="699">
        <v>1000</v>
      </c>
    </row>
    <row r="38" spans="1:40" x14ac:dyDescent="0.3">
      <c r="A38" s="669" t="s">
        <v>1007</v>
      </c>
      <c r="B38" s="686" t="e">
        <f>+B37+1</f>
        <v>#REF!</v>
      </c>
      <c r="C38" s="687">
        <f t="shared" si="5"/>
        <v>37</v>
      </c>
      <c r="D38" s="688">
        <v>100</v>
      </c>
      <c r="E38" s="688">
        <v>258</v>
      </c>
      <c r="F38" s="689"/>
      <c r="G38" s="689">
        <v>45.14</v>
      </c>
      <c r="H38" s="690">
        <v>1.024</v>
      </c>
      <c r="I38" s="691">
        <f t="shared" si="0"/>
        <v>0</v>
      </c>
      <c r="J38" s="692">
        <f t="shared" si="1"/>
        <v>0</v>
      </c>
      <c r="K38" s="692">
        <v>0</v>
      </c>
      <c r="L38" s="692">
        <f t="shared" si="2"/>
        <v>0</v>
      </c>
      <c r="M38" s="693">
        <v>3.81</v>
      </c>
      <c r="N38" s="693">
        <v>0</v>
      </c>
      <c r="O38" s="691">
        <f t="shared" si="3"/>
        <v>0</v>
      </c>
      <c r="P38" s="688" t="s">
        <v>1008</v>
      </c>
      <c r="Q38" s="694">
        <v>5000</v>
      </c>
      <c r="R38" s="688" t="s">
        <v>886</v>
      </c>
      <c r="S38" s="688" t="e">
        <f>+#REF!</f>
        <v>#REF!</v>
      </c>
      <c r="T38" s="688" t="s">
        <v>1008</v>
      </c>
      <c r="U38" s="694">
        <v>5000</v>
      </c>
      <c r="V38" s="688" t="s">
        <v>886</v>
      </c>
      <c r="W38" s="695">
        <v>34335</v>
      </c>
      <c r="X38" s="696" t="s">
        <v>944</v>
      </c>
      <c r="Y38" s="688" t="s">
        <v>1009</v>
      </c>
      <c r="Z38" s="688" t="s">
        <v>1010</v>
      </c>
      <c r="AA38" s="688" t="s">
        <v>891</v>
      </c>
      <c r="AB38" s="688" t="s">
        <v>891</v>
      </c>
      <c r="AC38" s="688"/>
      <c r="AD38" s="688"/>
      <c r="AE38" s="689">
        <v>7398998.6100000003</v>
      </c>
      <c r="AF38" s="693">
        <v>1.4978320000000001</v>
      </c>
      <c r="AG38" s="688" t="s">
        <v>891</v>
      </c>
      <c r="AH38" s="693">
        <v>1.4978320000000001</v>
      </c>
      <c r="AI38" s="697" t="s">
        <v>944</v>
      </c>
      <c r="AJ38" s="698" t="s">
        <v>1011</v>
      </c>
      <c r="AK38" s="699">
        <f t="shared" si="6"/>
        <v>45140</v>
      </c>
      <c r="AL38" s="685" t="s">
        <v>159</v>
      </c>
      <c r="AM38" s="699">
        <v>2500</v>
      </c>
      <c r="AN38" s="699">
        <v>1000</v>
      </c>
    </row>
    <row r="39" spans="1:40" x14ac:dyDescent="0.3">
      <c r="A39" s="669" t="s">
        <v>1012</v>
      </c>
      <c r="B39" s="686" t="e">
        <f>+B38+1</f>
        <v>#REF!</v>
      </c>
      <c r="C39" s="687">
        <f t="shared" si="5"/>
        <v>38</v>
      </c>
      <c r="D39" s="688">
        <v>100</v>
      </c>
      <c r="E39" s="688">
        <v>258</v>
      </c>
      <c r="F39" s="689"/>
      <c r="G39" s="689">
        <v>67.12</v>
      </c>
      <c r="H39" s="690">
        <v>1</v>
      </c>
      <c r="I39" s="691">
        <f t="shared" si="0"/>
        <v>0</v>
      </c>
      <c r="J39" s="692">
        <f t="shared" si="1"/>
        <v>0</v>
      </c>
      <c r="K39" s="692">
        <v>0</v>
      </c>
      <c r="L39" s="692">
        <f t="shared" si="2"/>
        <v>0</v>
      </c>
      <c r="M39" s="693">
        <v>3.81</v>
      </c>
      <c r="N39" s="693">
        <v>0</v>
      </c>
      <c r="O39" s="691">
        <f t="shared" si="3"/>
        <v>0</v>
      </c>
      <c r="P39" s="688" t="s">
        <v>1008</v>
      </c>
      <c r="Q39" s="694">
        <v>5000</v>
      </c>
      <c r="R39" s="688" t="s">
        <v>886</v>
      </c>
      <c r="S39" s="688" t="e">
        <f>+#REF!</f>
        <v>#REF!</v>
      </c>
      <c r="T39" s="688" t="s">
        <v>1008</v>
      </c>
      <c r="U39" s="694">
        <v>5000</v>
      </c>
      <c r="V39" s="688" t="s">
        <v>886</v>
      </c>
      <c r="W39" s="695">
        <v>34335</v>
      </c>
      <c r="X39" s="696" t="s">
        <v>944</v>
      </c>
      <c r="Y39" s="688" t="s">
        <v>1013</v>
      </c>
      <c r="Z39" s="688" t="s">
        <v>1014</v>
      </c>
      <c r="AA39" s="688" t="s">
        <v>891</v>
      </c>
      <c r="AB39" s="688" t="s">
        <v>891</v>
      </c>
      <c r="AC39" s="688"/>
      <c r="AD39" s="688"/>
      <c r="AE39" s="689">
        <v>10735749.84</v>
      </c>
      <c r="AF39" s="693">
        <v>2.1733150000000001</v>
      </c>
      <c r="AG39" s="688" t="s">
        <v>891</v>
      </c>
      <c r="AH39" s="693">
        <v>2.1733150000000001</v>
      </c>
      <c r="AI39" s="697" t="s">
        <v>944</v>
      </c>
      <c r="AJ39" s="698" t="s">
        <v>1015</v>
      </c>
      <c r="AK39" s="699">
        <f t="shared" si="6"/>
        <v>67120</v>
      </c>
      <c r="AL39" s="685" t="s">
        <v>159</v>
      </c>
      <c r="AM39" s="699">
        <v>2500</v>
      </c>
      <c r="AN39" s="699">
        <v>1000</v>
      </c>
    </row>
    <row r="40" spans="1:40" x14ac:dyDescent="0.3">
      <c r="A40" s="669" t="s">
        <v>1016</v>
      </c>
      <c r="B40" s="686" t="e">
        <f>+B39+1</f>
        <v>#REF!</v>
      </c>
      <c r="C40" s="687">
        <f t="shared" si="5"/>
        <v>39</v>
      </c>
      <c r="D40" s="688">
        <v>100</v>
      </c>
      <c r="E40" s="688">
        <v>258</v>
      </c>
      <c r="F40" s="689"/>
      <c r="G40" s="689">
        <v>66.89</v>
      </c>
      <c r="H40" s="690">
        <v>1</v>
      </c>
      <c r="I40" s="691">
        <f t="shared" si="0"/>
        <v>0</v>
      </c>
      <c r="J40" s="692">
        <f t="shared" si="1"/>
        <v>0</v>
      </c>
      <c r="K40" s="692">
        <v>0</v>
      </c>
      <c r="L40" s="692">
        <f t="shared" si="2"/>
        <v>0</v>
      </c>
      <c r="M40" s="693">
        <v>1.3943700000000001</v>
      </c>
      <c r="N40" s="693">
        <v>1.21916</v>
      </c>
      <c r="O40" s="691">
        <f t="shared" si="3"/>
        <v>0</v>
      </c>
      <c r="P40" s="688" t="s">
        <v>1017</v>
      </c>
      <c r="Q40" s="694">
        <v>5000</v>
      </c>
      <c r="R40" s="688" t="s">
        <v>886</v>
      </c>
      <c r="S40" s="688" t="e">
        <f>+#REF!</f>
        <v>#REF!</v>
      </c>
      <c r="T40" s="688" t="s">
        <v>1017</v>
      </c>
      <c r="U40" s="694">
        <v>5000</v>
      </c>
      <c r="V40" s="688" t="s">
        <v>886</v>
      </c>
      <c r="W40" s="695">
        <v>36312</v>
      </c>
      <c r="X40" s="696" t="s">
        <v>944</v>
      </c>
      <c r="Y40" s="688" t="s">
        <v>1018</v>
      </c>
      <c r="Z40" s="688" t="s">
        <v>1019</v>
      </c>
      <c r="AA40" s="688" t="s">
        <v>891</v>
      </c>
      <c r="AB40" s="688" t="s">
        <v>891</v>
      </c>
      <c r="AC40" s="688"/>
      <c r="AD40" s="688"/>
      <c r="AE40" s="689">
        <v>10726128.560000001</v>
      </c>
      <c r="AF40" s="693">
        <v>2.165035</v>
      </c>
      <c r="AG40" s="688" t="s">
        <v>891</v>
      </c>
      <c r="AH40" s="693">
        <v>2.165035</v>
      </c>
      <c r="AI40" s="697" t="s">
        <v>944</v>
      </c>
      <c r="AJ40" s="698" t="s">
        <v>1020</v>
      </c>
      <c r="AK40" s="699">
        <f t="shared" si="6"/>
        <v>66890</v>
      </c>
      <c r="AL40" s="685" t="s">
        <v>159</v>
      </c>
      <c r="AM40" s="699">
        <v>2500</v>
      </c>
      <c r="AN40" s="699">
        <v>1000</v>
      </c>
    </row>
    <row r="41" spans="1:40" x14ac:dyDescent="0.3">
      <c r="A41" s="669" t="s">
        <v>1021</v>
      </c>
      <c r="B41" s="686" t="e">
        <f>+B40+1</f>
        <v>#REF!</v>
      </c>
      <c r="C41" s="687">
        <f t="shared" si="5"/>
        <v>40</v>
      </c>
      <c r="D41" s="688">
        <v>100</v>
      </c>
      <c r="E41" s="688">
        <v>258</v>
      </c>
      <c r="F41" s="689"/>
      <c r="G41" s="689">
        <v>56.88</v>
      </c>
      <c r="H41" s="690">
        <v>1</v>
      </c>
      <c r="I41" s="691">
        <f t="shared" si="0"/>
        <v>0</v>
      </c>
      <c r="J41" s="692">
        <f t="shared" si="1"/>
        <v>0</v>
      </c>
      <c r="K41" s="692">
        <v>0</v>
      </c>
      <c r="L41" s="692">
        <f t="shared" si="2"/>
        <v>0</v>
      </c>
      <c r="M41" s="693">
        <v>5.08</v>
      </c>
      <c r="N41" s="693">
        <v>0</v>
      </c>
      <c r="O41" s="691">
        <f t="shared" si="3"/>
        <v>0</v>
      </c>
      <c r="P41" s="688" t="s">
        <v>1017</v>
      </c>
      <c r="Q41" s="694">
        <v>5000</v>
      </c>
      <c r="R41" s="688" t="s">
        <v>886</v>
      </c>
      <c r="S41" s="688" t="e">
        <f>+#REF!</f>
        <v>#REF!</v>
      </c>
      <c r="T41" s="688" t="s">
        <v>1017</v>
      </c>
      <c r="U41" s="694">
        <v>5000</v>
      </c>
      <c r="V41" s="688" t="s">
        <v>886</v>
      </c>
      <c r="W41" s="695">
        <v>37288</v>
      </c>
      <c r="X41" s="696" t="s">
        <v>944</v>
      </c>
      <c r="Y41" s="688" t="s">
        <v>1022</v>
      </c>
      <c r="Z41" s="688" t="s">
        <v>1023</v>
      </c>
      <c r="AA41" s="688" t="s">
        <v>891</v>
      </c>
      <c r="AB41" s="688" t="s">
        <v>891</v>
      </c>
      <c r="AC41" s="688"/>
      <c r="AD41" s="688"/>
      <c r="AE41" s="689">
        <v>9120977.6099999994</v>
      </c>
      <c r="AF41" s="693">
        <v>1.84104</v>
      </c>
      <c r="AG41" s="688" t="s">
        <v>891</v>
      </c>
      <c r="AH41" s="693">
        <v>1.84104</v>
      </c>
      <c r="AI41" s="697" t="s">
        <v>944</v>
      </c>
      <c r="AJ41" s="698" t="s">
        <v>1024</v>
      </c>
      <c r="AK41" s="699">
        <f t="shared" si="6"/>
        <v>56880</v>
      </c>
      <c r="AL41" s="685" t="s">
        <v>159</v>
      </c>
      <c r="AM41" s="699">
        <v>2500</v>
      </c>
      <c r="AN41" s="699">
        <v>1000</v>
      </c>
    </row>
    <row r="42" spans="1:40" x14ac:dyDescent="0.3">
      <c r="A42" s="669" t="s">
        <v>1025</v>
      </c>
      <c r="B42" s="686" t="e">
        <f>+#REF!+1</f>
        <v>#REF!</v>
      </c>
      <c r="C42" s="687">
        <f t="shared" si="5"/>
        <v>41</v>
      </c>
      <c r="D42" s="688">
        <v>100</v>
      </c>
      <c r="E42" s="688">
        <v>258</v>
      </c>
      <c r="F42" s="689"/>
      <c r="G42" s="689">
        <v>44.87</v>
      </c>
      <c r="H42" s="690">
        <v>1.024</v>
      </c>
      <c r="I42" s="691">
        <f t="shared" si="0"/>
        <v>0</v>
      </c>
      <c r="J42" s="692">
        <f t="shared" si="1"/>
        <v>0</v>
      </c>
      <c r="K42" s="692">
        <v>0</v>
      </c>
      <c r="L42" s="692">
        <f t="shared" si="2"/>
        <v>0</v>
      </c>
      <c r="M42" s="693">
        <v>3.81</v>
      </c>
      <c r="N42" s="693">
        <v>0</v>
      </c>
      <c r="O42" s="691">
        <f t="shared" si="3"/>
        <v>0</v>
      </c>
      <c r="P42" s="688" t="s">
        <v>1017</v>
      </c>
      <c r="Q42" s="694">
        <v>5000</v>
      </c>
      <c r="R42" s="688" t="s">
        <v>886</v>
      </c>
      <c r="S42" s="688" t="e">
        <f>+#REF!</f>
        <v>#REF!</v>
      </c>
      <c r="T42" s="688" t="s">
        <v>1017</v>
      </c>
      <c r="U42" s="694">
        <v>5000</v>
      </c>
      <c r="V42" s="688" t="s">
        <v>886</v>
      </c>
      <c r="W42" s="695">
        <v>34335</v>
      </c>
      <c r="X42" s="696" t="s">
        <v>944</v>
      </c>
      <c r="Y42" s="688" t="s">
        <v>1026</v>
      </c>
      <c r="Z42" s="688" t="s">
        <v>1027</v>
      </c>
      <c r="AA42" s="688" t="s">
        <v>891</v>
      </c>
      <c r="AB42" s="688" t="s">
        <v>891</v>
      </c>
      <c r="AC42" s="688"/>
      <c r="AD42" s="688"/>
      <c r="AE42" s="689">
        <v>7367800</v>
      </c>
      <c r="AF42" s="693">
        <v>1.4871669999999999</v>
      </c>
      <c r="AG42" s="688" t="s">
        <v>891</v>
      </c>
      <c r="AH42" s="693">
        <v>1.4871669999999999</v>
      </c>
      <c r="AI42" s="697" t="s">
        <v>944</v>
      </c>
      <c r="AJ42" s="698" t="s">
        <v>1028</v>
      </c>
      <c r="AK42" s="699">
        <f t="shared" si="6"/>
        <v>44870</v>
      </c>
      <c r="AL42" s="685" t="s">
        <v>159</v>
      </c>
      <c r="AM42" s="699">
        <v>2500</v>
      </c>
      <c r="AN42" s="699">
        <v>1000</v>
      </c>
    </row>
    <row r="43" spans="1:40" x14ac:dyDescent="0.3">
      <c r="A43" s="669" t="s">
        <v>1029</v>
      </c>
      <c r="B43" s="686" t="e">
        <f>+B42+1</f>
        <v>#REF!</v>
      </c>
      <c r="C43" s="687">
        <f t="shared" si="5"/>
        <v>42</v>
      </c>
      <c r="D43" s="688">
        <v>100</v>
      </c>
      <c r="E43" s="688">
        <v>248</v>
      </c>
      <c r="F43" s="689"/>
      <c r="G43" s="689">
        <v>44.87</v>
      </c>
      <c r="H43" s="690">
        <v>1.024</v>
      </c>
      <c r="I43" s="691">
        <f t="shared" si="0"/>
        <v>0</v>
      </c>
      <c r="J43" s="692">
        <f t="shared" si="1"/>
        <v>0</v>
      </c>
      <c r="K43" s="692">
        <v>0</v>
      </c>
      <c r="L43" s="692">
        <f t="shared" si="2"/>
        <v>0</v>
      </c>
      <c r="M43" s="693">
        <v>3.81</v>
      </c>
      <c r="N43" s="693">
        <v>0</v>
      </c>
      <c r="O43" s="691">
        <f t="shared" si="3"/>
        <v>0</v>
      </c>
      <c r="P43" s="688" t="s">
        <v>1030</v>
      </c>
      <c r="Q43" s="694">
        <v>5000</v>
      </c>
      <c r="R43" s="688" t="s">
        <v>886</v>
      </c>
      <c r="S43" s="688" t="e">
        <f>+#REF!</f>
        <v>#REF!</v>
      </c>
      <c r="T43" s="688" t="s">
        <v>1030</v>
      </c>
      <c r="U43" s="694">
        <v>5000</v>
      </c>
      <c r="V43" s="688" t="s">
        <v>886</v>
      </c>
      <c r="W43" s="695">
        <v>35612</v>
      </c>
      <c r="X43" s="696" t="s">
        <v>944</v>
      </c>
      <c r="Y43" s="688" t="s">
        <v>1031</v>
      </c>
      <c r="Z43" s="688" t="s">
        <v>1032</v>
      </c>
      <c r="AA43" s="688" t="s">
        <v>891</v>
      </c>
      <c r="AB43" s="688" t="s">
        <v>891</v>
      </c>
      <c r="AC43" s="688"/>
      <c r="AD43" s="688"/>
      <c r="AE43" s="689">
        <v>7082226.3499999996</v>
      </c>
      <c r="AF43" s="693">
        <v>1.43</v>
      </c>
      <c r="AG43" s="688" t="s">
        <v>891</v>
      </c>
      <c r="AH43" s="693">
        <v>1.43</v>
      </c>
      <c r="AI43" s="697" t="s">
        <v>944</v>
      </c>
      <c r="AJ43" s="698" t="s">
        <v>1033</v>
      </c>
      <c r="AK43" s="699">
        <f t="shared" si="6"/>
        <v>44870</v>
      </c>
      <c r="AL43" s="685" t="s">
        <v>159</v>
      </c>
      <c r="AM43" s="699">
        <v>2500</v>
      </c>
      <c r="AN43" s="699">
        <v>1000</v>
      </c>
    </row>
    <row r="44" spans="1:40" x14ac:dyDescent="0.3">
      <c r="A44" s="669" t="s">
        <v>1034</v>
      </c>
      <c r="B44" s="686" t="e">
        <f>+B43+1</f>
        <v>#REF!</v>
      </c>
      <c r="C44" s="687">
        <f t="shared" si="5"/>
        <v>43</v>
      </c>
      <c r="D44" s="688">
        <v>100</v>
      </c>
      <c r="E44" s="688">
        <v>258</v>
      </c>
      <c r="F44" s="689"/>
      <c r="G44" s="689">
        <v>46.35</v>
      </c>
      <c r="H44" s="690">
        <v>1.024</v>
      </c>
      <c r="I44" s="691">
        <f t="shared" si="0"/>
        <v>0</v>
      </c>
      <c r="J44" s="692">
        <f t="shared" si="1"/>
        <v>0</v>
      </c>
      <c r="K44" s="692">
        <v>11381</v>
      </c>
      <c r="L44" s="692">
        <f t="shared" si="2"/>
        <v>-11381</v>
      </c>
      <c r="M44" s="693">
        <v>1.91</v>
      </c>
      <c r="N44" s="693">
        <v>1.67</v>
      </c>
      <c r="O44" s="691">
        <f t="shared" si="3"/>
        <v>0</v>
      </c>
      <c r="P44" s="688" t="s">
        <v>1030</v>
      </c>
      <c r="Q44" s="694">
        <v>5000</v>
      </c>
      <c r="R44" s="688" t="s">
        <v>886</v>
      </c>
      <c r="S44" s="688" t="e">
        <f>+#REF!</f>
        <v>#REF!</v>
      </c>
      <c r="T44" s="688" t="s">
        <v>1030</v>
      </c>
      <c r="U44" s="694">
        <v>5000</v>
      </c>
      <c r="V44" s="688" t="s">
        <v>886</v>
      </c>
      <c r="W44" s="695">
        <v>37244</v>
      </c>
      <c r="X44" s="696" t="s">
        <v>944</v>
      </c>
      <c r="Y44" s="688" t="s">
        <v>1035</v>
      </c>
      <c r="Z44" s="688" t="s">
        <v>1036</v>
      </c>
      <c r="AA44" s="688" t="s">
        <v>891</v>
      </c>
      <c r="AB44" s="688" t="s">
        <v>891</v>
      </c>
      <c r="AC44" s="688"/>
      <c r="AD44" s="688"/>
      <c r="AE44" s="689">
        <v>7610820.8099999996</v>
      </c>
      <c r="AF44" s="693">
        <v>1.54</v>
      </c>
      <c r="AG44" s="688" t="s">
        <v>891</v>
      </c>
      <c r="AH44" s="693">
        <v>1.54</v>
      </c>
      <c r="AI44" s="697" t="s">
        <v>944</v>
      </c>
      <c r="AJ44" s="698" t="s">
        <v>1037</v>
      </c>
      <c r="AK44" s="699">
        <f t="shared" si="6"/>
        <v>46350</v>
      </c>
      <c r="AL44" s="685" t="s">
        <v>159</v>
      </c>
      <c r="AM44" s="699">
        <v>2500</v>
      </c>
      <c r="AN44" s="699">
        <v>1000</v>
      </c>
    </row>
    <row r="45" spans="1:40" x14ac:dyDescent="0.3">
      <c r="B45" s="686"/>
      <c r="C45" s="687">
        <v>44</v>
      </c>
      <c r="D45" s="688"/>
      <c r="E45" s="688"/>
      <c r="F45" s="689"/>
      <c r="G45" s="689">
        <v>46.73</v>
      </c>
      <c r="H45" s="690"/>
      <c r="I45" s="691"/>
      <c r="J45" s="692"/>
      <c r="K45" s="692"/>
      <c r="L45" s="692"/>
      <c r="M45" s="693"/>
      <c r="N45" s="693"/>
      <c r="O45" s="691"/>
      <c r="P45" s="688" t="s">
        <v>1030</v>
      </c>
      <c r="Q45" s="694"/>
      <c r="R45" s="688"/>
      <c r="S45" s="688"/>
      <c r="T45" s="688"/>
      <c r="U45" s="694"/>
      <c r="V45" s="688"/>
      <c r="W45" s="695"/>
      <c r="X45" s="696"/>
      <c r="Y45" s="688"/>
      <c r="Z45" s="688"/>
      <c r="AA45" s="688"/>
      <c r="AB45" s="688"/>
      <c r="AC45" s="688"/>
      <c r="AD45" s="688"/>
      <c r="AE45" s="689"/>
      <c r="AF45" s="693"/>
      <c r="AG45" s="688"/>
      <c r="AH45" s="693"/>
      <c r="AI45" s="697">
        <v>1975</v>
      </c>
      <c r="AJ45" s="698" t="s">
        <v>1038</v>
      </c>
      <c r="AK45" s="699">
        <f t="shared" si="6"/>
        <v>46730</v>
      </c>
      <c r="AL45" s="685" t="s">
        <v>159</v>
      </c>
      <c r="AM45" s="699">
        <v>2500</v>
      </c>
      <c r="AN45" s="699">
        <v>1000</v>
      </c>
    </row>
    <row r="46" spans="1:40" x14ac:dyDescent="0.3">
      <c r="B46" s="686"/>
      <c r="C46" s="687">
        <v>45</v>
      </c>
      <c r="D46" s="688"/>
      <c r="E46" s="688"/>
      <c r="F46" s="689"/>
      <c r="G46" s="689">
        <v>69.88</v>
      </c>
      <c r="H46" s="690"/>
      <c r="I46" s="691"/>
      <c r="J46" s="692"/>
      <c r="K46" s="692"/>
      <c r="L46" s="692"/>
      <c r="M46" s="693"/>
      <c r="N46" s="693"/>
      <c r="O46" s="691"/>
      <c r="P46" s="688" t="s">
        <v>1039</v>
      </c>
      <c r="Q46" s="694"/>
      <c r="R46" s="688"/>
      <c r="S46" s="688" t="e">
        <f>+#REF!</f>
        <v>#REF!</v>
      </c>
      <c r="T46" s="688"/>
      <c r="U46" s="694"/>
      <c r="V46" s="688"/>
      <c r="W46" s="695"/>
      <c r="X46" s="696"/>
      <c r="Y46" s="688"/>
      <c r="Z46" s="688"/>
      <c r="AA46" s="688"/>
      <c r="AB46" s="688"/>
      <c r="AC46" s="688"/>
      <c r="AD46" s="688"/>
      <c r="AE46" s="689"/>
      <c r="AF46" s="693"/>
      <c r="AG46" s="688"/>
      <c r="AH46" s="693"/>
      <c r="AI46" s="697">
        <v>1976</v>
      </c>
      <c r="AJ46" s="698" t="s">
        <v>1040</v>
      </c>
      <c r="AK46" s="699">
        <f t="shared" si="6"/>
        <v>69880</v>
      </c>
      <c r="AL46" s="685" t="s">
        <v>159</v>
      </c>
      <c r="AM46" s="699">
        <v>2500</v>
      </c>
      <c r="AN46" s="699">
        <v>1000</v>
      </c>
    </row>
    <row r="47" spans="1:40" x14ac:dyDescent="0.3">
      <c r="A47" s="669" t="s">
        <v>1041</v>
      </c>
      <c r="B47" s="686" t="e">
        <f>+B44+1</f>
        <v>#REF!</v>
      </c>
      <c r="C47" s="687">
        <v>46</v>
      </c>
      <c r="D47" s="688">
        <v>100</v>
      </c>
      <c r="E47" s="688">
        <v>272</v>
      </c>
      <c r="F47" s="689"/>
      <c r="G47" s="689">
        <v>59.32</v>
      </c>
      <c r="H47" s="690">
        <v>1</v>
      </c>
      <c r="I47" s="691">
        <f t="shared" si="0"/>
        <v>0</v>
      </c>
      <c r="J47" s="692">
        <f t="shared" si="1"/>
        <v>0</v>
      </c>
      <c r="K47" s="692">
        <v>0</v>
      </c>
      <c r="L47" s="692">
        <f t="shared" si="2"/>
        <v>0</v>
      </c>
      <c r="M47" s="693">
        <v>3.81</v>
      </c>
      <c r="N47" s="693">
        <v>0</v>
      </c>
      <c r="O47" s="691">
        <f t="shared" si="3"/>
        <v>0</v>
      </c>
      <c r="P47" s="688" t="s">
        <v>1042</v>
      </c>
      <c r="Q47" s="694">
        <v>5000</v>
      </c>
      <c r="R47" s="688" t="s">
        <v>886</v>
      </c>
      <c r="S47" s="688" t="e">
        <f>+#REF!</f>
        <v>#REF!</v>
      </c>
      <c r="T47" s="688" t="s">
        <v>1042</v>
      </c>
      <c r="U47" s="694">
        <v>5000</v>
      </c>
      <c r="V47" s="688" t="s">
        <v>886</v>
      </c>
      <c r="W47" s="695">
        <v>36495</v>
      </c>
      <c r="X47" s="696" t="s">
        <v>1043</v>
      </c>
      <c r="Y47" s="688" t="s">
        <v>1044</v>
      </c>
      <c r="Z47" s="688" t="s">
        <v>1045</v>
      </c>
      <c r="AA47" s="688" t="s">
        <v>891</v>
      </c>
      <c r="AB47" s="688" t="s">
        <v>891</v>
      </c>
      <c r="AC47" s="688"/>
      <c r="AD47" s="688"/>
      <c r="AE47" s="689">
        <v>10028411.41</v>
      </c>
      <c r="AF47" s="693">
        <v>2.052235</v>
      </c>
      <c r="AG47" s="688" t="s">
        <v>891</v>
      </c>
      <c r="AH47" s="693">
        <v>2.052235</v>
      </c>
      <c r="AI47" s="697" t="s">
        <v>1043</v>
      </c>
      <c r="AJ47" s="698" t="s">
        <v>1046</v>
      </c>
      <c r="AK47" s="699">
        <f t="shared" si="6"/>
        <v>59320</v>
      </c>
      <c r="AL47" s="685" t="s">
        <v>159</v>
      </c>
      <c r="AM47" s="699">
        <v>2500</v>
      </c>
      <c r="AN47" s="699">
        <v>1000</v>
      </c>
    </row>
    <row r="48" spans="1:40" x14ac:dyDescent="0.3">
      <c r="A48" s="669" t="s">
        <v>1047</v>
      </c>
      <c r="B48" s="686" t="e">
        <f>+B47+1</f>
        <v>#REF!</v>
      </c>
      <c r="C48" s="687">
        <f t="shared" si="5"/>
        <v>47</v>
      </c>
      <c r="D48" s="688">
        <v>100</v>
      </c>
      <c r="E48" s="688">
        <v>287</v>
      </c>
      <c r="F48" s="689"/>
      <c r="G48" s="689">
        <v>59.67</v>
      </c>
      <c r="H48" s="690">
        <v>1</v>
      </c>
      <c r="I48" s="691">
        <f t="shared" si="0"/>
        <v>0</v>
      </c>
      <c r="J48" s="692">
        <f t="shared" si="1"/>
        <v>0</v>
      </c>
      <c r="K48" s="692">
        <v>0</v>
      </c>
      <c r="L48" s="692">
        <f t="shared" si="2"/>
        <v>0</v>
      </c>
      <c r="M48" s="693">
        <v>1.91</v>
      </c>
      <c r="N48" s="693">
        <v>1.67</v>
      </c>
      <c r="O48" s="691">
        <f t="shared" si="3"/>
        <v>0</v>
      </c>
      <c r="P48" s="688" t="s">
        <v>1048</v>
      </c>
      <c r="Q48" s="694">
        <v>5000</v>
      </c>
      <c r="R48" s="688" t="s">
        <v>886</v>
      </c>
      <c r="S48" s="688" t="e">
        <f>+#REF!</f>
        <v>#REF!</v>
      </c>
      <c r="T48" s="688" t="s">
        <v>1048</v>
      </c>
      <c r="U48" s="694">
        <v>5000</v>
      </c>
      <c r="V48" s="688" t="s">
        <v>886</v>
      </c>
      <c r="W48" s="695">
        <v>37530</v>
      </c>
      <c r="X48" s="696" t="s">
        <v>1043</v>
      </c>
      <c r="Y48" s="688" t="s">
        <v>1049</v>
      </c>
      <c r="Z48" s="688" t="s">
        <v>1050</v>
      </c>
      <c r="AA48" s="688" t="s">
        <v>891</v>
      </c>
      <c r="AB48" s="688" t="s">
        <v>891</v>
      </c>
      <c r="AC48" s="688"/>
      <c r="AD48" s="688"/>
      <c r="AE48" s="689">
        <v>10643881.49</v>
      </c>
      <c r="AF48" s="693">
        <v>2.1800000000000002</v>
      </c>
      <c r="AG48" s="688" t="s">
        <v>891</v>
      </c>
      <c r="AH48" s="693">
        <v>2.1800000000000002</v>
      </c>
      <c r="AI48" s="697" t="s">
        <v>1043</v>
      </c>
      <c r="AJ48" s="698" t="s">
        <v>1051</v>
      </c>
      <c r="AK48" s="699">
        <f t="shared" si="6"/>
        <v>59670</v>
      </c>
      <c r="AL48" s="685" t="s">
        <v>159</v>
      </c>
      <c r="AM48" s="699">
        <v>2500</v>
      </c>
      <c r="AN48" s="699">
        <v>1000</v>
      </c>
    </row>
    <row r="49" spans="1:40" x14ac:dyDescent="0.3">
      <c r="A49" s="669" t="s">
        <v>1052</v>
      </c>
      <c r="B49" s="686" t="e">
        <f>+B48+1</f>
        <v>#REF!</v>
      </c>
      <c r="C49" s="687">
        <f t="shared" si="5"/>
        <v>48</v>
      </c>
      <c r="D49" s="688">
        <v>100</v>
      </c>
      <c r="E49" s="688">
        <v>222</v>
      </c>
      <c r="F49" s="689"/>
      <c r="G49" s="689">
        <v>46.09</v>
      </c>
      <c r="H49" s="690">
        <v>1</v>
      </c>
      <c r="I49" s="691">
        <f t="shared" si="0"/>
        <v>0</v>
      </c>
      <c r="J49" s="692">
        <f t="shared" si="1"/>
        <v>0</v>
      </c>
      <c r="K49" s="692">
        <v>0</v>
      </c>
      <c r="L49" s="692">
        <f t="shared" si="2"/>
        <v>0</v>
      </c>
      <c r="M49" s="693">
        <v>3.81</v>
      </c>
      <c r="N49" s="693">
        <v>0</v>
      </c>
      <c r="O49" s="691">
        <f t="shared" si="3"/>
        <v>0</v>
      </c>
      <c r="P49" s="688" t="s">
        <v>1053</v>
      </c>
      <c r="Q49" s="694">
        <v>5000</v>
      </c>
      <c r="R49" s="688" t="s">
        <v>886</v>
      </c>
      <c r="S49" s="688" t="e">
        <f>+#REF!</f>
        <v>#REF!</v>
      </c>
      <c r="T49" s="688" t="s">
        <v>1054</v>
      </c>
      <c r="U49" s="694">
        <v>5000</v>
      </c>
      <c r="V49" s="688" t="s">
        <v>886</v>
      </c>
      <c r="W49" s="695">
        <v>35921</v>
      </c>
      <c r="X49" s="696" t="s">
        <v>1055</v>
      </c>
      <c r="Y49" s="688" t="s">
        <v>1056</v>
      </c>
      <c r="Z49" s="688" t="s">
        <v>1057</v>
      </c>
      <c r="AA49" s="688" t="s">
        <v>891</v>
      </c>
      <c r="AB49" s="688" t="s">
        <v>891</v>
      </c>
      <c r="AC49" s="688"/>
      <c r="AD49" s="688"/>
      <c r="AE49" s="689">
        <v>5795145.7199999997</v>
      </c>
      <c r="AF49" s="693">
        <v>7.9</v>
      </c>
      <c r="AG49" s="688" t="s">
        <v>891</v>
      </c>
      <c r="AH49" s="693">
        <v>7.9</v>
      </c>
      <c r="AI49" s="697" t="s">
        <v>1055</v>
      </c>
      <c r="AJ49" s="698" t="s">
        <v>1058</v>
      </c>
      <c r="AK49" s="699">
        <f>G49*800</f>
        <v>36872</v>
      </c>
      <c r="AL49" s="685" t="s">
        <v>160</v>
      </c>
      <c r="AM49" s="699">
        <v>2500</v>
      </c>
      <c r="AN49" s="699">
        <v>1000</v>
      </c>
    </row>
    <row r="50" spans="1:40" x14ac:dyDescent="0.3">
      <c r="A50" s="669" t="s">
        <v>1059</v>
      </c>
      <c r="B50" s="686" t="e">
        <f>+B49+1</f>
        <v>#REF!</v>
      </c>
      <c r="C50" s="687">
        <f t="shared" si="5"/>
        <v>49</v>
      </c>
      <c r="D50" s="688">
        <v>100</v>
      </c>
      <c r="E50" s="688">
        <v>209</v>
      </c>
      <c r="F50" s="689"/>
      <c r="G50" s="689">
        <v>28.65</v>
      </c>
      <c r="H50" s="690">
        <v>1.024</v>
      </c>
      <c r="I50" s="691">
        <f t="shared" si="0"/>
        <v>0</v>
      </c>
      <c r="J50" s="692">
        <f t="shared" si="1"/>
        <v>0</v>
      </c>
      <c r="K50" s="692">
        <v>0</v>
      </c>
      <c r="L50" s="692">
        <f t="shared" si="2"/>
        <v>0</v>
      </c>
      <c r="M50" s="700">
        <v>3.81</v>
      </c>
      <c r="N50" s="693"/>
      <c r="O50" s="691">
        <f t="shared" si="3"/>
        <v>0</v>
      </c>
      <c r="P50" s="688" t="s">
        <v>1060</v>
      </c>
      <c r="Q50" s="694">
        <v>5253</v>
      </c>
      <c r="R50" s="688" t="s">
        <v>1061</v>
      </c>
      <c r="S50" s="688" t="e">
        <f>+#REF!</f>
        <v>#REF!</v>
      </c>
      <c r="T50" s="688" t="str">
        <f>+P50</f>
        <v>ČEPOVAN 159</v>
      </c>
      <c r="U50" s="694">
        <v>5000</v>
      </c>
      <c r="V50" s="688" t="s">
        <v>886</v>
      </c>
      <c r="W50" s="695">
        <v>37834</v>
      </c>
      <c r="X50" s="696" t="s">
        <v>1062</v>
      </c>
      <c r="Y50" s="688" t="s">
        <v>1063</v>
      </c>
      <c r="Z50" s="688" t="s">
        <v>1064</v>
      </c>
      <c r="AA50" s="688" t="s">
        <v>891</v>
      </c>
      <c r="AB50" s="688" t="s">
        <v>891</v>
      </c>
      <c r="AC50" s="688"/>
      <c r="AD50" s="688"/>
      <c r="AE50" s="689">
        <v>6053620.2599999998</v>
      </c>
      <c r="AF50" s="693">
        <v>0</v>
      </c>
      <c r="AG50" s="688" t="s">
        <v>891</v>
      </c>
      <c r="AH50" s="693">
        <v>0</v>
      </c>
      <c r="AI50" s="697">
        <v>2013</v>
      </c>
      <c r="AJ50" s="698" t="s">
        <v>1065</v>
      </c>
      <c r="AK50" s="699">
        <f t="shared" ref="AK50:AK55" si="7">G50*1100</f>
        <v>31515</v>
      </c>
      <c r="AL50" s="685" t="s">
        <v>159</v>
      </c>
      <c r="AM50" s="699">
        <v>2500</v>
      </c>
      <c r="AN50" s="699">
        <v>1000</v>
      </c>
    </row>
    <row r="51" spans="1:40" x14ac:dyDescent="0.3">
      <c r="A51" s="669" t="s">
        <v>1066</v>
      </c>
      <c r="B51" s="686" t="e">
        <f>+B50+1</f>
        <v>#REF!</v>
      </c>
      <c r="C51" s="687">
        <f t="shared" si="5"/>
        <v>50</v>
      </c>
      <c r="D51" s="688">
        <v>100</v>
      </c>
      <c r="E51" s="688">
        <v>174</v>
      </c>
      <c r="F51" s="689"/>
      <c r="G51" s="689">
        <v>73.900000000000006</v>
      </c>
      <c r="H51" s="690">
        <v>1.024</v>
      </c>
      <c r="I51" s="691">
        <f t="shared" si="0"/>
        <v>0</v>
      </c>
      <c r="J51" s="692">
        <f t="shared" si="1"/>
        <v>0</v>
      </c>
      <c r="K51" s="692">
        <v>0</v>
      </c>
      <c r="L51" s="692">
        <f t="shared" si="2"/>
        <v>0</v>
      </c>
      <c r="M51" s="693">
        <v>2.54</v>
      </c>
      <c r="N51" s="693">
        <v>0</v>
      </c>
      <c r="O51" s="691">
        <f t="shared" si="3"/>
        <v>0</v>
      </c>
      <c r="P51" s="688" t="s">
        <v>1060</v>
      </c>
      <c r="Q51" s="694">
        <v>5253</v>
      </c>
      <c r="R51" s="688" t="s">
        <v>1061</v>
      </c>
      <c r="S51" s="688" t="e">
        <f>+#REF!</f>
        <v>#REF!</v>
      </c>
      <c r="T51" s="688" t="s">
        <v>1060</v>
      </c>
      <c r="U51" s="694">
        <v>5253</v>
      </c>
      <c r="V51" s="688" t="s">
        <v>1061</v>
      </c>
      <c r="W51" s="695">
        <v>34335</v>
      </c>
      <c r="X51" s="696" t="s">
        <v>1067</v>
      </c>
      <c r="Y51" s="688" t="s">
        <v>1068</v>
      </c>
      <c r="Z51" s="688" t="s">
        <v>1069</v>
      </c>
      <c r="AA51" s="688" t="s">
        <v>891</v>
      </c>
      <c r="AB51" s="688" t="s">
        <v>891</v>
      </c>
      <c r="AC51" s="688"/>
      <c r="AD51" s="688"/>
      <c r="AE51" s="689">
        <v>5348825.5199999996</v>
      </c>
      <c r="AF51" s="693">
        <v>100</v>
      </c>
      <c r="AG51" s="688" t="s">
        <v>891</v>
      </c>
      <c r="AH51" s="693">
        <v>100</v>
      </c>
      <c r="AI51" s="697">
        <v>2013</v>
      </c>
      <c r="AJ51" s="698" t="s">
        <v>1070</v>
      </c>
      <c r="AK51" s="699">
        <f t="shared" si="7"/>
        <v>81290</v>
      </c>
      <c r="AL51" s="685" t="s">
        <v>159</v>
      </c>
      <c r="AM51" s="699">
        <v>2500</v>
      </c>
      <c r="AN51" s="699">
        <v>1000</v>
      </c>
    </row>
    <row r="52" spans="1:40" x14ac:dyDescent="0.3">
      <c r="A52" s="669" t="s">
        <v>1071</v>
      </c>
      <c r="B52" s="686" t="e">
        <f>+B51+1</f>
        <v>#REF!</v>
      </c>
      <c r="C52" s="687">
        <f t="shared" si="5"/>
        <v>51</v>
      </c>
      <c r="D52" s="688">
        <v>100</v>
      </c>
      <c r="E52" s="688">
        <v>174</v>
      </c>
      <c r="F52" s="689"/>
      <c r="G52" s="689">
        <v>29.79</v>
      </c>
      <c r="H52" s="690">
        <v>1.024</v>
      </c>
      <c r="I52" s="691">
        <f t="shared" si="0"/>
        <v>0</v>
      </c>
      <c r="J52" s="692">
        <f t="shared" si="1"/>
        <v>0</v>
      </c>
      <c r="K52" s="692">
        <v>7003</v>
      </c>
      <c r="L52" s="692">
        <f t="shared" si="2"/>
        <v>-7003</v>
      </c>
      <c r="M52" s="693">
        <v>2.54</v>
      </c>
      <c r="N52" s="693">
        <v>0</v>
      </c>
      <c r="O52" s="691">
        <f t="shared" si="3"/>
        <v>0</v>
      </c>
      <c r="P52" s="688" t="s">
        <v>1060</v>
      </c>
      <c r="Q52" s="694">
        <v>5253</v>
      </c>
      <c r="R52" s="688" t="s">
        <v>1061</v>
      </c>
      <c r="S52" s="688" t="e">
        <f>+#REF!</f>
        <v>#REF!</v>
      </c>
      <c r="T52" s="688" t="s">
        <v>1060</v>
      </c>
      <c r="U52" s="694">
        <v>5253</v>
      </c>
      <c r="V52" s="688" t="s">
        <v>1061</v>
      </c>
      <c r="W52" s="695">
        <v>36373</v>
      </c>
      <c r="X52" s="696" t="s">
        <v>1067</v>
      </c>
      <c r="Y52" s="688" t="s">
        <v>1072</v>
      </c>
      <c r="Z52" s="688" t="s">
        <v>1073</v>
      </c>
      <c r="AA52" s="688" t="s">
        <v>891</v>
      </c>
      <c r="AB52" s="688" t="s">
        <v>891</v>
      </c>
      <c r="AC52" s="688" t="s">
        <v>1074</v>
      </c>
      <c r="AD52" s="688" t="s">
        <v>1075</v>
      </c>
      <c r="AE52" s="689">
        <v>4420809.83</v>
      </c>
      <c r="AF52" s="693">
        <v>0</v>
      </c>
      <c r="AG52" s="688" t="s">
        <v>891</v>
      </c>
      <c r="AH52" s="693">
        <v>0</v>
      </c>
      <c r="AI52" s="697">
        <v>2013</v>
      </c>
      <c r="AJ52" s="698" t="s">
        <v>1076</v>
      </c>
      <c r="AK52" s="699">
        <f t="shared" si="7"/>
        <v>32769</v>
      </c>
      <c r="AL52" s="685" t="s">
        <v>159</v>
      </c>
      <c r="AM52" s="699">
        <v>2500</v>
      </c>
      <c r="AN52" s="699">
        <v>1000</v>
      </c>
    </row>
    <row r="53" spans="1:40" x14ac:dyDescent="0.3">
      <c r="B53" s="686"/>
      <c r="C53" s="687">
        <v>52</v>
      </c>
      <c r="D53" s="688"/>
      <c r="E53" s="688"/>
      <c r="F53" s="689"/>
      <c r="G53" s="689">
        <v>32.68</v>
      </c>
      <c r="H53" s="690"/>
      <c r="I53" s="691"/>
      <c r="J53" s="692"/>
      <c r="K53" s="692"/>
      <c r="L53" s="692"/>
      <c r="M53" s="693"/>
      <c r="N53" s="693"/>
      <c r="O53" s="691"/>
      <c r="P53" s="688" t="s">
        <v>1060</v>
      </c>
      <c r="Q53" s="694"/>
      <c r="R53" s="688"/>
      <c r="S53" s="688" t="e">
        <f>+#REF!</f>
        <v>#REF!</v>
      </c>
      <c r="T53" s="688"/>
      <c r="U53" s="694"/>
      <c r="V53" s="688"/>
      <c r="W53" s="695"/>
      <c r="X53" s="696"/>
      <c r="Y53" s="688"/>
      <c r="Z53" s="688"/>
      <c r="AA53" s="688"/>
      <c r="AB53" s="688"/>
      <c r="AC53" s="688"/>
      <c r="AD53" s="688"/>
      <c r="AE53" s="689"/>
      <c r="AF53" s="693"/>
      <c r="AG53" s="688"/>
      <c r="AH53" s="693"/>
      <c r="AI53" s="697">
        <v>2013</v>
      </c>
      <c r="AJ53" s="698" t="s">
        <v>1077</v>
      </c>
      <c r="AK53" s="699">
        <f t="shared" si="7"/>
        <v>35948</v>
      </c>
      <c r="AL53" s="685" t="s">
        <v>159</v>
      </c>
      <c r="AM53" s="699">
        <v>2500</v>
      </c>
      <c r="AN53" s="699">
        <v>1000</v>
      </c>
    </row>
    <row r="54" spans="1:40" x14ac:dyDescent="0.3">
      <c r="B54" s="686"/>
      <c r="C54" s="687">
        <v>53</v>
      </c>
      <c r="D54" s="688"/>
      <c r="E54" s="688"/>
      <c r="F54" s="689"/>
      <c r="G54" s="689">
        <v>63.77</v>
      </c>
      <c r="H54" s="690"/>
      <c r="I54" s="691"/>
      <c r="J54" s="692"/>
      <c r="K54" s="692"/>
      <c r="L54" s="692"/>
      <c r="M54" s="693"/>
      <c r="N54" s="693"/>
      <c r="O54" s="691"/>
      <c r="P54" s="688" t="s">
        <v>1060</v>
      </c>
      <c r="Q54" s="694"/>
      <c r="R54" s="688"/>
      <c r="S54" s="688" t="e">
        <f>+#REF!</f>
        <v>#REF!</v>
      </c>
      <c r="T54" s="688"/>
      <c r="U54" s="694"/>
      <c r="V54" s="688"/>
      <c r="W54" s="695"/>
      <c r="X54" s="696"/>
      <c r="Y54" s="688"/>
      <c r="Z54" s="688"/>
      <c r="AA54" s="688"/>
      <c r="AB54" s="688"/>
      <c r="AC54" s="688"/>
      <c r="AD54" s="688"/>
      <c r="AE54" s="689"/>
      <c r="AF54" s="693"/>
      <c r="AG54" s="688"/>
      <c r="AH54" s="693"/>
      <c r="AI54" s="697">
        <v>2013</v>
      </c>
      <c r="AJ54" s="698" t="s">
        <v>1078</v>
      </c>
      <c r="AK54" s="699">
        <f t="shared" si="7"/>
        <v>70147</v>
      </c>
      <c r="AL54" s="685" t="s">
        <v>159</v>
      </c>
      <c r="AM54" s="699">
        <v>2500</v>
      </c>
      <c r="AN54" s="699">
        <v>1000</v>
      </c>
    </row>
    <row r="55" spans="1:40" x14ac:dyDescent="0.3">
      <c r="B55" s="686"/>
      <c r="C55" s="687">
        <v>54</v>
      </c>
      <c r="D55" s="688"/>
      <c r="E55" s="688"/>
      <c r="F55" s="689"/>
      <c r="G55" s="689">
        <v>42.6</v>
      </c>
      <c r="H55" s="690"/>
      <c r="I55" s="691"/>
      <c r="J55" s="692"/>
      <c r="K55" s="692"/>
      <c r="L55" s="692"/>
      <c r="M55" s="693"/>
      <c r="N55" s="693"/>
      <c r="O55" s="691"/>
      <c r="P55" s="688" t="s">
        <v>1060</v>
      </c>
      <c r="Q55" s="694"/>
      <c r="R55" s="688"/>
      <c r="S55" s="688" t="e">
        <f>+#REF!</f>
        <v>#REF!</v>
      </c>
      <c r="T55" s="688"/>
      <c r="U55" s="694"/>
      <c r="V55" s="688"/>
      <c r="W55" s="695"/>
      <c r="X55" s="696"/>
      <c r="Y55" s="688"/>
      <c r="Z55" s="688"/>
      <c r="AA55" s="688"/>
      <c r="AB55" s="688"/>
      <c r="AC55" s="688"/>
      <c r="AD55" s="688"/>
      <c r="AE55" s="689"/>
      <c r="AF55" s="693"/>
      <c r="AG55" s="688"/>
      <c r="AH55" s="693"/>
      <c r="AI55" s="697">
        <v>2013</v>
      </c>
      <c r="AJ55" s="698" t="s">
        <v>1079</v>
      </c>
      <c r="AK55" s="699">
        <f t="shared" si="7"/>
        <v>46860</v>
      </c>
      <c r="AL55" s="685" t="s">
        <v>159</v>
      </c>
      <c r="AM55" s="699">
        <v>2500</v>
      </c>
      <c r="AN55" s="699">
        <v>1000</v>
      </c>
    </row>
    <row r="56" spans="1:40" x14ac:dyDescent="0.3">
      <c r="A56" s="669" t="s">
        <v>1080</v>
      </c>
      <c r="B56" s="686" t="e">
        <f>+B52+1</f>
        <v>#REF!</v>
      </c>
      <c r="C56" s="687">
        <v>55</v>
      </c>
      <c r="D56" s="688">
        <v>100</v>
      </c>
      <c r="E56" s="688">
        <v>228</v>
      </c>
      <c r="F56" s="689"/>
      <c r="G56" s="689">
        <v>60.28</v>
      </c>
      <c r="H56" s="690">
        <v>0.98099999999999998</v>
      </c>
      <c r="I56" s="691">
        <f t="shared" si="0"/>
        <v>0</v>
      </c>
      <c r="J56" s="692">
        <f t="shared" si="1"/>
        <v>0</v>
      </c>
      <c r="K56" s="692">
        <v>0</v>
      </c>
      <c r="L56" s="692">
        <f t="shared" si="2"/>
        <v>0</v>
      </c>
      <c r="M56" s="693">
        <v>5.08</v>
      </c>
      <c r="N56" s="693">
        <v>0</v>
      </c>
      <c r="O56" s="691">
        <f t="shared" si="3"/>
        <v>0</v>
      </c>
      <c r="P56" s="688" t="s">
        <v>1081</v>
      </c>
      <c r="Q56" s="694">
        <v>5253</v>
      </c>
      <c r="R56" s="688" t="s">
        <v>1061</v>
      </c>
      <c r="S56" s="688" t="e">
        <f>+#REF!</f>
        <v>#REF!</v>
      </c>
      <c r="T56" s="688" t="s">
        <v>1082</v>
      </c>
      <c r="U56" s="694">
        <v>5253</v>
      </c>
      <c r="V56" s="688" t="s">
        <v>1061</v>
      </c>
      <c r="W56" s="695">
        <v>37073</v>
      </c>
      <c r="X56" s="696" t="s">
        <v>1043</v>
      </c>
      <c r="Y56" s="688" t="s">
        <v>1083</v>
      </c>
      <c r="Z56" s="688" t="s">
        <v>1084</v>
      </c>
      <c r="AA56" s="688" t="s">
        <v>891</v>
      </c>
      <c r="AB56" s="688" t="s">
        <v>891</v>
      </c>
      <c r="AC56" s="688"/>
      <c r="AD56" s="688"/>
      <c r="AE56" s="689">
        <v>8379906.9100000001</v>
      </c>
      <c r="AF56" s="693">
        <v>100</v>
      </c>
      <c r="AG56" s="688" t="s">
        <v>891</v>
      </c>
      <c r="AH56" s="693">
        <v>100</v>
      </c>
      <c r="AI56" s="697" t="s">
        <v>1043</v>
      </c>
      <c r="AJ56" s="698" t="s">
        <v>1085</v>
      </c>
      <c r="AK56" s="699">
        <f>G56*1000</f>
        <v>60280</v>
      </c>
      <c r="AL56" s="685" t="s">
        <v>159</v>
      </c>
      <c r="AM56" s="699">
        <v>2500</v>
      </c>
      <c r="AN56" s="699">
        <v>1000</v>
      </c>
    </row>
    <row r="57" spans="1:40" x14ac:dyDescent="0.3">
      <c r="A57" s="669" t="s">
        <v>1086</v>
      </c>
      <c r="B57" s="686" t="e">
        <f>+B56+1</f>
        <v>#REF!</v>
      </c>
      <c r="C57" s="687">
        <f t="shared" ref="C57:C120" si="8">+C56+1</f>
        <v>56</v>
      </c>
      <c r="D57" s="688">
        <v>100</v>
      </c>
      <c r="E57" s="688">
        <v>102</v>
      </c>
      <c r="F57" s="689"/>
      <c r="G57" s="689">
        <v>46.74</v>
      </c>
      <c r="H57" s="690">
        <v>0.96599999999999997</v>
      </c>
      <c r="I57" s="691">
        <f t="shared" si="0"/>
        <v>0</v>
      </c>
      <c r="J57" s="692">
        <f t="shared" si="1"/>
        <v>0</v>
      </c>
      <c r="K57" s="692">
        <v>0</v>
      </c>
      <c r="L57" s="692">
        <f t="shared" si="2"/>
        <v>0</v>
      </c>
      <c r="M57" s="693">
        <v>0</v>
      </c>
      <c r="N57" s="693"/>
      <c r="O57" s="691"/>
      <c r="P57" s="688" t="s">
        <v>1087</v>
      </c>
      <c r="Q57" s="694">
        <v>5253</v>
      </c>
      <c r="R57" s="688" t="s">
        <v>1061</v>
      </c>
      <c r="S57" s="688" t="e">
        <f>+#REF!</f>
        <v>#REF!</v>
      </c>
      <c r="T57" s="688" t="s">
        <v>1087</v>
      </c>
      <c r="U57" s="694">
        <v>5253</v>
      </c>
      <c r="V57" s="688" t="s">
        <v>1061</v>
      </c>
      <c r="W57" s="695">
        <v>36342</v>
      </c>
      <c r="X57" s="696" t="s">
        <v>1088</v>
      </c>
      <c r="Y57" s="688" t="s">
        <v>1089</v>
      </c>
      <c r="Z57" s="688" t="s">
        <v>1090</v>
      </c>
      <c r="AA57" s="688" t="s">
        <v>891</v>
      </c>
      <c r="AB57" s="688" t="s">
        <v>891</v>
      </c>
      <c r="AC57" s="688"/>
      <c r="AD57" s="688"/>
      <c r="AE57" s="689">
        <v>2862385.36</v>
      </c>
      <c r="AF57" s="693">
        <v>100</v>
      </c>
      <c r="AG57" s="688" t="s">
        <v>891</v>
      </c>
      <c r="AH57" s="693">
        <v>100</v>
      </c>
      <c r="AI57" s="697" t="s">
        <v>1088</v>
      </c>
      <c r="AJ57" s="698" t="s">
        <v>1091</v>
      </c>
      <c r="AK57" s="699">
        <f>G57*600</f>
        <v>28044</v>
      </c>
      <c r="AL57" s="685" t="s">
        <v>160</v>
      </c>
      <c r="AM57" s="699">
        <v>2500</v>
      </c>
      <c r="AN57" s="699">
        <v>1000</v>
      </c>
    </row>
    <row r="58" spans="1:40" x14ac:dyDescent="0.3">
      <c r="A58" s="669" t="s">
        <v>1092</v>
      </c>
      <c r="B58" s="686" t="e">
        <f>+B57+1</f>
        <v>#REF!</v>
      </c>
      <c r="C58" s="687">
        <f t="shared" si="8"/>
        <v>57</v>
      </c>
      <c r="D58" s="688">
        <v>100</v>
      </c>
      <c r="E58" s="688">
        <v>202</v>
      </c>
      <c r="F58" s="689"/>
      <c r="G58" s="689">
        <v>37.61</v>
      </c>
      <c r="H58" s="690">
        <v>1.024</v>
      </c>
      <c r="I58" s="691">
        <f t="shared" si="0"/>
        <v>0</v>
      </c>
      <c r="J58" s="692">
        <f t="shared" si="1"/>
        <v>0</v>
      </c>
      <c r="K58" s="692">
        <v>0</v>
      </c>
      <c r="L58" s="692">
        <f t="shared" si="2"/>
        <v>0</v>
      </c>
      <c r="M58" s="693">
        <v>5.08</v>
      </c>
      <c r="N58" s="693">
        <v>0</v>
      </c>
      <c r="O58" s="691">
        <f t="shared" ref="O58:O121" si="9">ROUND(+I58*N58/(12*100),0)</f>
        <v>0</v>
      </c>
      <c r="P58" s="688" t="s">
        <v>1093</v>
      </c>
      <c r="Q58" s="694">
        <v>5000</v>
      </c>
      <c r="R58" s="688" t="s">
        <v>886</v>
      </c>
      <c r="S58" s="688" t="e">
        <f>+#REF!</f>
        <v>#REF!</v>
      </c>
      <c r="T58" s="688" t="s">
        <v>1093</v>
      </c>
      <c r="U58" s="694">
        <v>5000</v>
      </c>
      <c r="V58" s="688" t="s">
        <v>886</v>
      </c>
      <c r="W58" s="695">
        <v>37530</v>
      </c>
      <c r="X58" s="696" t="s">
        <v>1094</v>
      </c>
      <c r="Y58" s="688" t="s">
        <v>1095</v>
      </c>
      <c r="Z58" s="688" t="s">
        <v>1096</v>
      </c>
      <c r="AA58" s="688" t="s">
        <v>891</v>
      </c>
      <c r="AB58" s="688" t="s">
        <v>891</v>
      </c>
      <c r="AC58" s="688"/>
      <c r="AD58" s="688"/>
      <c r="AE58" s="689">
        <v>4835225.75</v>
      </c>
      <c r="AF58" s="693">
        <v>12.92</v>
      </c>
      <c r="AG58" s="688" t="s">
        <v>891</v>
      </c>
      <c r="AH58" s="693">
        <v>12.92</v>
      </c>
      <c r="AI58" s="697" t="s">
        <v>1094</v>
      </c>
      <c r="AJ58" s="698" t="s">
        <v>1097</v>
      </c>
      <c r="AK58" s="699">
        <f>G58*900</f>
        <v>33849</v>
      </c>
      <c r="AL58" s="685" t="s">
        <v>159</v>
      </c>
      <c r="AM58" s="699">
        <v>2500</v>
      </c>
      <c r="AN58" s="699">
        <v>1000</v>
      </c>
    </row>
    <row r="59" spans="1:40" x14ac:dyDescent="0.3">
      <c r="A59" s="669" t="s">
        <v>1098</v>
      </c>
      <c r="B59" s="686" t="e">
        <f>+B58+1</f>
        <v>#REF!</v>
      </c>
      <c r="C59" s="687">
        <f t="shared" si="8"/>
        <v>58</v>
      </c>
      <c r="D59" s="688">
        <v>100</v>
      </c>
      <c r="E59" s="688">
        <v>236</v>
      </c>
      <c r="F59" s="689"/>
      <c r="G59" s="689">
        <v>31.54</v>
      </c>
      <c r="H59" s="690">
        <v>1.024</v>
      </c>
      <c r="I59" s="691">
        <f t="shared" si="0"/>
        <v>0</v>
      </c>
      <c r="J59" s="692">
        <f t="shared" si="1"/>
        <v>0</v>
      </c>
      <c r="K59" s="692">
        <v>0</v>
      </c>
      <c r="L59" s="692">
        <f t="shared" si="2"/>
        <v>0</v>
      </c>
      <c r="M59" s="693">
        <v>6.35</v>
      </c>
      <c r="N59" s="693">
        <v>0</v>
      </c>
      <c r="O59" s="691">
        <f t="shared" si="9"/>
        <v>0</v>
      </c>
      <c r="P59" s="688" t="s">
        <v>1099</v>
      </c>
      <c r="Q59" s="694">
        <v>5000</v>
      </c>
      <c r="R59" s="688" t="s">
        <v>886</v>
      </c>
      <c r="S59" s="688" t="e">
        <f>+#REF!</f>
        <v>#REF!</v>
      </c>
      <c r="T59" s="688" t="s">
        <v>1100</v>
      </c>
      <c r="U59" s="694">
        <v>5000</v>
      </c>
      <c r="V59" s="688" t="s">
        <v>886</v>
      </c>
      <c r="W59" s="695">
        <v>34335</v>
      </c>
      <c r="X59" s="696" t="s">
        <v>938</v>
      </c>
      <c r="Y59" s="688" t="s">
        <v>1101</v>
      </c>
      <c r="Z59" s="688" t="s">
        <v>1102</v>
      </c>
      <c r="AA59" s="688" t="s">
        <v>891</v>
      </c>
      <c r="AB59" s="688" t="s">
        <v>891</v>
      </c>
      <c r="AC59" s="688"/>
      <c r="AD59" s="688"/>
      <c r="AE59" s="689">
        <v>4714822.76</v>
      </c>
      <c r="AF59" s="693">
        <v>2.86</v>
      </c>
      <c r="AG59" s="688" t="s">
        <v>891</v>
      </c>
      <c r="AH59" s="693">
        <v>2.86</v>
      </c>
      <c r="AI59" s="697" t="s">
        <v>938</v>
      </c>
      <c r="AJ59" s="698" t="s">
        <v>1103</v>
      </c>
      <c r="AK59" s="699">
        <f>G59*900</f>
        <v>28386</v>
      </c>
      <c r="AL59" s="685" t="s">
        <v>159</v>
      </c>
      <c r="AM59" s="699">
        <v>2500</v>
      </c>
      <c r="AN59" s="699">
        <v>1000</v>
      </c>
    </row>
    <row r="60" spans="1:40" x14ac:dyDescent="0.3">
      <c r="A60" s="669" t="s">
        <v>1104</v>
      </c>
      <c r="B60" s="686" t="e">
        <f>+B59+1</f>
        <v>#REF!</v>
      </c>
      <c r="C60" s="687">
        <f t="shared" si="8"/>
        <v>59</v>
      </c>
      <c r="D60" s="688">
        <v>100</v>
      </c>
      <c r="E60" s="688">
        <v>240</v>
      </c>
      <c r="F60" s="689"/>
      <c r="G60" s="689">
        <v>41.29</v>
      </c>
      <c r="H60" s="690">
        <v>1</v>
      </c>
      <c r="I60" s="691">
        <f t="shared" si="0"/>
        <v>0</v>
      </c>
      <c r="J60" s="692">
        <f t="shared" si="1"/>
        <v>0</v>
      </c>
      <c r="K60" s="692">
        <v>0</v>
      </c>
      <c r="L60" s="692">
        <f t="shared" si="2"/>
        <v>0</v>
      </c>
      <c r="M60" s="693">
        <v>3.81</v>
      </c>
      <c r="N60" s="693">
        <v>0</v>
      </c>
      <c r="O60" s="691">
        <f t="shared" si="9"/>
        <v>0</v>
      </c>
      <c r="P60" s="688" t="s">
        <v>1105</v>
      </c>
      <c r="Q60" s="694">
        <v>5000</v>
      </c>
      <c r="R60" s="688" t="s">
        <v>886</v>
      </c>
      <c r="S60" s="688" t="e">
        <f>+#REF!</f>
        <v>#REF!</v>
      </c>
      <c r="T60" s="688" t="s">
        <v>1105</v>
      </c>
      <c r="U60" s="694">
        <v>5000</v>
      </c>
      <c r="V60" s="688" t="s">
        <v>886</v>
      </c>
      <c r="W60" s="695">
        <v>34516</v>
      </c>
      <c r="X60" s="696" t="s">
        <v>1106</v>
      </c>
      <c r="Y60" s="688" t="s">
        <v>1107</v>
      </c>
      <c r="Z60" s="688" t="s">
        <v>1108</v>
      </c>
      <c r="AA60" s="688" t="s">
        <v>891</v>
      </c>
      <c r="AB60" s="688" t="s">
        <v>891</v>
      </c>
      <c r="AC60" s="688"/>
      <c r="AD60" s="688"/>
      <c r="AE60" s="689">
        <v>6159113.6900000004</v>
      </c>
      <c r="AF60" s="693">
        <v>5.14</v>
      </c>
      <c r="AG60" s="688" t="s">
        <v>891</v>
      </c>
      <c r="AH60" s="693">
        <v>1.69</v>
      </c>
      <c r="AI60" s="697" t="s">
        <v>1106</v>
      </c>
      <c r="AJ60" s="698" t="s">
        <v>1109</v>
      </c>
      <c r="AK60" s="699">
        <f>G60*900</f>
        <v>37161</v>
      </c>
      <c r="AL60" s="685" t="s">
        <v>159</v>
      </c>
      <c r="AM60" s="699">
        <v>2500</v>
      </c>
      <c r="AN60" s="699">
        <v>1000</v>
      </c>
    </row>
    <row r="61" spans="1:40" x14ac:dyDescent="0.3">
      <c r="B61" s="686"/>
      <c r="C61" s="687">
        <v>60</v>
      </c>
      <c r="D61" s="688"/>
      <c r="E61" s="688"/>
      <c r="F61" s="689"/>
      <c r="G61" s="689">
        <v>56.75</v>
      </c>
      <c r="H61" s="690"/>
      <c r="I61" s="691"/>
      <c r="J61" s="692"/>
      <c r="K61" s="692"/>
      <c r="L61" s="692"/>
      <c r="M61" s="693"/>
      <c r="N61" s="693"/>
      <c r="O61" s="691"/>
      <c r="P61" s="688" t="s">
        <v>1110</v>
      </c>
      <c r="Q61" s="694"/>
      <c r="R61" s="688"/>
      <c r="S61" s="688" t="e">
        <f>+#REF!</f>
        <v>#REF!</v>
      </c>
      <c r="T61" s="688"/>
      <c r="U61" s="694"/>
      <c r="V61" s="688"/>
      <c r="W61" s="695"/>
      <c r="X61" s="696"/>
      <c r="Y61" s="688"/>
      <c r="Z61" s="688"/>
      <c r="AA61" s="688"/>
      <c r="AB61" s="688"/>
      <c r="AC61" s="688"/>
      <c r="AD61" s="688"/>
      <c r="AE61" s="689"/>
      <c r="AF61" s="693"/>
      <c r="AG61" s="688"/>
      <c r="AH61" s="693"/>
      <c r="AI61" s="697">
        <v>2008</v>
      </c>
      <c r="AJ61" s="698" t="s">
        <v>1111</v>
      </c>
      <c r="AK61" s="699">
        <f>G61*1100</f>
        <v>62425</v>
      </c>
      <c r="AL61" s="685" t="s">
        <v>159</v>
      </c>
      <c r="AM61" s="699">
        <v>2500</v>
      </c>
      <c r="AN61" s="699">
        <v>1000</v>
      </c>
    </row>
    <row r="62" spans="1:40" x14ac:dyDescent="0.3">
      <c r="B62" s="686"/>
      <c r="C62" s="687">
        <v>61</v>
      </c>
      <c r="D62" s="688"/>
      <c r="E62" s="688"/>
      <c r="F62" s="689"/>
      <c r="G62" s="689">
        <v>57</v>
      </c>
      <c r="H62" s="690"/>
      <c r="I62" s="691"/>
      <c r="J62" s="692"/>
      <c r="K62" s="692"/>
      <c r="L62" s="692"/>
      <c r="M62" s="693"/>
      <c r="N62" s="693"/>
      <c r="O62" s="691"/>
      <c r="P62" s="688" t="s">
        <v>1110</v>
      </c>
      <c r="Q62" s="694"/>
      <c r="R62" s="688"/>
      <c r="S62" s="688" t="e">
        <f>+#REF!</f>
        <v>#REF!</v>
      </c>
      <c r="T62" s="688"/>
      <c r="U62" s="694"/>
      <c r="V62" s="688"/>
      <c r="W62" s="695"/>
      <c r="X62" s="696"/>
      <c r="Y62" s="688"/>
      <c r="Z62" s="688"/>
      <c r="AA62" s="688"/>
      <c r="AB62" s="688"/>
      <c r="AC62" s="688"/>
      <c r="AD62" s="688"/>
      <c r="AE62" s="689"/>
      <c r="AF62" s="693"/>
      <c r="AG62" s="688"/>
      <c r="AH62" s="693"/>
      <c r="AI62" s="697">
        <v>2008</v>
      </c>
      <c r="AJ62" s="698" t="s">
        <v>1112</v>
      </c>
      <c r="AK62" s="699">
        <f t="shared" ref="AK62:AK68" si="10">G62*1100</f>
        <v>62700</v>
      </c>
      <c r="AL62" s="685" t="s">
        <v>159</v>
      </c>
      <c r="AM62" s="699">
        <v>2500</v>
      </c>
      <c r="AN62" s="699">
        <v>1000</v>
      </c>
    </row>
    <row r="63" spans="1:40" x14ac:dyDescent="0.3">
      <c r="B63" s="686"/>
      <c r="C63" s="687">
        <v>62</v>
      </c>
      <c r="D63" s="688"/>
      <c r="E63" s="688"/>
      <c r="F63" s="689"/>
      <c r="G63" s="689">
        <v>56.84</v>
      </c>
      <c r="H63" s="690"/>
      <c r="I63" s="691"/>
      <c r="J63" s="692"/>
      <c r="K63" s="692"/>
      <c r="L63" s="692"/>
      <c r="M63" s="693"/>
      <c r="N63" s="693"/>
      <c r="O63" s="691"/>
      <c r="P63" s="688" t="s">
        <v>1110</v>
      </c>
      <c r="Q63" s="694"/>
      <c r="R63" s="688"/>
      <c r="S63" s="688" t="e">
        <f>+#REF!</f>
        <v>#REF!</v>
      </c>
      <c r="T63" s="688"/>
      <c r="U63" s="694"/>
      <c r="V63" s="688"/>
      <c r="W63" s="695"/>
      <c r="X63" s="696"/>
      <c r="Y63" s="688"/>
      <c r="Z63" s="688"/>
      <c r="AA63" s="688"/>
      <c r="AB63" s="688"/>
      <c r="AC63" s="688"/>
      <c r="AD63" s="688"/>
      <c r="AE63" s="689"/>
      <c r="AF63" s="693"/>
      <c r="AG63" s="688"/>
      <c r="AH63" s="693"/>
      <c r="AI63" s="697">
        <v>2008</v>
      </c>
      <c r="AJ63" s="698" t="s">
        <v>1113</v>
      </c>
      <c r="AK63" s="699">
        <f t="shared" si="10"/>
        <v>62524.000000000007</v>
      </c>
      <c r="AL63" s="685" t="s">
        <v>159</v>
      </c>
      <c r="AM63" s="699">
        <v>2500</v>
      </c>
      <c r="AN63" s="699">
        <v>1000</v>
      </c>
    </row>
    <row r="64" spans="1:40" x14ac:dyDescent="0.3">
      <c r="B64" s="686"/>
      <c r="C64" s="687">
        <v>63</v>
      </c>
      <c r="D64" s="688"/>
      <c r="E64" s="688"/>
      <c r="F64" s="689"/>
      <c r="G64" s="689">
        <v>57.14</v>
      </c>
      <c r="H64" s="690"/>
      <c r="I64" s="691"/>
      <c r="J64" s="692"/>
      <c r="K64" s="692"/>
      <c r="L64" s="692"/>
      <c r="M64" s="693"/>
      <c r="N64" s="693"/>
      <c r="O64" s="691"/>
      <c r="P64" s="688" t="s">
        <v>1110</v>
      </c>
      <c r="Q64" s="694"/>
      <c r="R64" s="688"/>
      <c r="S64" s="688" t="e">
        <f>+#REF!</f>
        <v>#REF!</v>
      </c>
      <c r="T64" s="688"/>
      <c r="U64" s="694"/>
      <c r="V64" s="688"/>
      <c r="W64" s="695"/>
      <c r="X64" s="696"/>
      <c r="Y64" s="688"/>
      <c r="Z64" s="688"/>
      <c r="AA64" s="688"/>
      <c r="AB64" s="688"/>
      <c r="AC64" s="688"/>
      <c r="AD64" s="688"/>
      <c r="AE64" s="689"/>
      <c r="AF64" s="693"/>
      <c r="AG64" s="688"/>
      <c r="AH64" s="693"/>
      <c r="AI64" s="697">
        <v>2008</v>
      </c>
      <c r="AJ64" s="698" t="s">
        <v>1114</v>
      </c>
      <c r="AK64" s="699">
        <f t="shared" si="10"/>
        <v>62854</v>
      </c>
      <c r="AL64" s="685" t="s">
        <v>159</v>
      </c>
      <c r="AM64" s="699">
        <v>2500</v>
      </c>
      <c r="AN64" s="699">
        <v>1000</v>
      </c>
    </row>
    <row r="65" spans="1:41" x14ac:dyDescent="0.3">
      <c r="B65" s="686"/>
      <c r="C65" s="687">
        <v>64</v>
      </c>
      <c r="D65" s="688"/>
      <c r="E65" s="688"/>
      <c r="F65" s="689"/>
      <c r="G65" s="689">
        <v>56.69</v>
      </c>
      <c r="H65" s="690"/>
      <c r="I65" s="691"/>
      <c r="J65" s="692"/>
      <c r="K65" s="692"/>
      <c r="L65" s="692"/>
      <c r="M65" s="693"/>
      <c r="N65" s="693"/>
      <c r="O65" s="691"/>
      <c r="P65" s="688" t="s">
        <v>1110</v>
      </c>
      <c r="Q65" s="694"/>
      <c r="R65" s="688"/>
      <c r="S65" s="688" t="e">
        <f>+#REF!</f>
        <v>#REF!</v>
      </c>
      <c r="T65" s="688"/>
      <c r="U65" s="694"/>
      <c r="V65" s="688"/>
      <c r="W65" s="695"/>
      <c r="X65" s="696"/>
      <c r="Y65" s="688"/>
      <c r="Z65" s="688"/>
      <c r="AA65" s="688"/>
      <c r="AB65" s="688"/>
      <c r="AC65" s="688"/>
      <c r="AD65" s="688"/>
      <c r="AE65" s="689"/>
      <c r="AF65" s="693"/>
      <c r="AG65" s="688"/>
      <c r="AH65" s="693"/>
      <c r="AI65" s="697">
        <v>2008</v>
      </c>
      <c r="AJ65" s="698" t="s">
        <v>1115</v>
      </c>
      <c r="AK65" s="699">
        <f t="shared" si="10"/>
        <v>62359</v>
      </c>
      <c r="AL65" s="685" t="s">
        <v>159</v>
      </c>
      <c r="AM65" s="699">
        <v>2500</v>
      </c>
      <c r="AN65" s="699">
        <v>1000</v>
      </c>
    </row>
    <row r="66" spans="1:41" x14ac:dyDescent="0.3">
      <c r="B66" s="686"/>
      <c r="C66" s="687">
        <v>65</v>
      </c>
      <c r="D66" s="688"/>
      <c r="E66" s="688"/>
      <c r="F66" s="689"/>
      <c r="G66" s="689">
        <v>67.64</v>
      </c>
      <c r="H66" s="690"/>
      <c r="I66" s="691"/>
      <c r="J66" s="692"/>
      <c r="K66" s="692"/>
      <c r="L66" s="692"/>
      <c r="M66" s="693"/>
      <c r="N66" s="693"/>
      <c r="O66" s="691"/>
      <c r="P66" s="688" t="s">
        <v>1110</v>
      </c>
      <c r="Q66" s="694"/>
      <c r="R66" s="688"/>
      <c r="S66" s="688" t="e">
        <f>+#REF!</f>
        <v>#REF!</v>
      </c>
      <c r="T66" s="688"/>
      <c r="U66" s="694"/>
      <c r="V66" s="688"/>
      <c r="W66" s="695"/>
      <c r="X66" s="696"/>
      <c r="Y66" s="688"/>
      <c r="Z66" s="688"/>
      <c r="AA66" s="688"/>
      <c r="AB66" s="688"/>
      <c r="AC66" s="688"/>
      <c r="AD66" s="688"/>
      <c r="AE66" s="689"/>
      <c r="AF66" s="693"/>
      <c r="AG66" s="688"/>
      <c r="AH66" s="693"/>
      <c r="AI66" s="697">
        <v>2008</v>
      </c>
      <c r="AJ66" s="698" t="s">
        <v>1116</v>
      </c>
      <c r="AK66" s="699">
        <f t="shared" si="10"/>
        <v>74404</v>
      </c>
      <c r="AL66" s="685" t="s">
        <v>159</v>
      </c>
      <c r="AM66" s="699">
        <v>2500</v>
      </c>
      <c r="AN66" s="699">
        <v>1000</v>
      </c>
    </row>
    <row r="67" spans="1:41" x14ac:dyDescent="0.3">
      <c r="B67" s="686"/>
      <c r="C67" s="687">
        <v>66</v>
      </c>
      <c r="D67" s="688"/>
      <c r="E67" s="688"/>
      <c r="F67" s="689"/>
      <c r="G67" s="689">
        <v>57.42</v>
      </c>
      <c r="H67" s="690"/>
      <c r="I67" s="691"/>
      <c r="J67" s="692"/>
      <c r="K67" s="692"/>
      <c r="L67" s="692"/>
      <c r="M67" s="693"/>
      <c r="N67" s="693"/>
      <c r="O67" s="691"/>
      <c r="P67" s="688" t="s">
        <v>1110</v>
      </c>
      <c r="Q67" s="694"/>
      <c r="R67" s="688"/>
      <c r="S67" s="688" t="e">
        <f>+#REF!</f>
        <v>#REF!</v>
      </c>
      <c r="T67" s="688"/>
      <c r="U67" s="694"/>
      <c r="V67" s="688"/>
      <c r="W67" s="695"/>
      <c r="X67" s="696"/>
      <c r="Y67" s="688"/>
      <c r="Z67" s="688"/>
      <c r="AA67" s="688"/>
      <c r="AB67" s="688"/>
      <c r="AC67" s="688"/>
      <c r="AD67" s="688"/>
      <c r="AE67" s="689"/>
      <c r="AF67" s="693"/>
      <c r="AG67" s="688"/>
      <c r="AH67" s="693"/>
      <c r="AI67" s="697">
        <v>2008</v>
      </c>
      <c r="AJ67" s="698" t="s">
        <v>1117</v>
      </c>
      <c r="AK67" s="699">
        <f t="shared" si="10"/>
        <v>63162</v>
      </c>
      <c r="AL67" s="685" t="s">
        <v>159</v>
      </c>
      <c r="AM67" s="699">
        <v>2500</v>
      </c>
      <c r="AN67" s="699">
        <v>1000</v>
      </c>
    </row>
    <row r="68" spans="1:41" x14ac:dyDescent="0.3">
      <c r="B68" s="686"/>
      <c r="C68" s="687">
        <v>67</v>
      </c>
      <c r="D68" s="688"/>
      <c r="E68" s="688"/>
      <c r="F68" s="689"/>
      <c r="G68" s="689">
        <v>56.3</v>
      </c>
      <c r="H68" s="690"/>
      <c r="I68" s="691"/>
      <c r="J68" s="692"/>
      <c r="K68" s="692"/>
      <c r="L68" s="692"/>
      <c r="M68" s="693"/>
      <c r="N68" s="693"/>
      <c r="O68" s="691"/>
      <c r="P68" s="688" t="s">
        <v>1110</v>
      </c>
      <c r="Q68" s="694"/>
      <c r="R68" s="688"/>
      <c r="S68" s="688" t="e">
        <f>+#REF!</f>
        <v>#REF!</v>
      </c>
      <c r="T68" s="688"/>
      <c r="U68" s="694"/>
      <c r="V68" s="688"/>
      <c r="W68" s="695"/>
      <c r="X68" s="696"/>
      <c r="Y68" s="688"/>
      <c r="Z68" s="688"/>
      <c r="AA68" s="688"/>
      <c r="AB68" s="688"/>
      <c r="AC68" s="688"/>
      <c r="AD68" s="688"/>
      <c r="AE68" s="689"/>
      <c r="AF68" s="693"/>
      <c r="AG68" s="688"/>
      <c r="AH68" s="693"/>
      <c r="AI68" s="697">
        <v>2008</v>
      </c>
      <c r="AJ68" s="698" t="s">
        <v>1118</v>
      </c>
      <c r="AK68" s="699">
        <f t="shared" si="10"/>
        <v>61930</v>
      </c>
      <c r="AL68" s="685" t="s">
        <v>159</v>
      </c>
      <c r="AM68" s="699">
        <v>2500</v>
      </c>
      <c r="AN68" s="699">
        <v>1000</v>
      </c>
    </row>
    <row r="69" spans="1:41" x14ac:dyDescent="0.3">
      <c r="A69" s="669" t="s">
        <v>1119</v>
      </c>
      <c r="B69" s="686" t="e">
        <f>+B60+1</f>
        <v>#REF!</v>
      </c>
      <c r="C69" s="687">
        <v>68</v>
      </c>
      <c r="D69" s="688">
        <v>100</v>
      </c>
      <c r="E69" s="688">
        <v>226</v>
      </c>
      <c r="F69" s="689"/>
      <c r="G69" s="689">
        <v>27.43</v>
      </c>
      <c r="H69" s="690">
        <v>1.0569999999999999</v>
      </c>
      <c r="I69" s="691">
        <f t="shared" si="0"/>
        <v>0</v>
      </c>
      <c r="J69" s="692">
        <f t="shared" si="1"/>
        <v>0</v>
      </c>
      <c r="K69" s="692">
        <v>0</v>
      </c>
      <c r="L69" s="692">
        <f t="shared" si="2"/>
        <v>0</v>
      </c>
      <c r="M69" s="693">
        <v>3.81</v>
      </c>
      <c r="N69" s="693">
        <v>0</v>
      </c>
      <c r="O69" s="691">
        <f t="shared" si="9"/>
        <v>0</v>
      </c>
      <c r="P69" s="688" t="s">
        <v>1120</v>
      </c>
      <c r="Q69" s="694">
        <v>5000</v>
      </c>
      <c r="R69" s="688" t="s">
        <v>886</v>
      </c>
      <c r="S69" s="688" t="e">
        <f>+#REF!</f>
        <v>#REF!</v>
      </c>
      <c r="T69" s="688" t="s">
        <v>1121</v>
      </c>
      <c r="U69" s="694">
        <v>5000</v>
      </c>
      <c r="V69" s="688" t="s">
        <v>886</v>
      </c>
      <c r="W69" s="695">
        <v>35431</v>
      </c>
      <c r="X69" s="696" t="s">
        <v>1055</v>
      </c>
      <c r="Y69" s="688" t="s">
        <v>1122</v>
      </c>
      <c r="Z69" s="688" t="s">
        <v>1123</v>
      </c>
      <c r="AA69" s="688" t="s">
        <v>891</v>
      </c>
      <c r="AB69" s="688" t="s">
        <v>891</v>
      </c>
      <c r="AC69" s="688"/>
      <c r="AD69" s="688"/>
      <c r="AE69" s="689">
        <v>4072596</v>
      </c>
      <c r="AF69" s="693">
        <v>4.9400000000000004</v>
      </c>
      <c r="AG69" s="688" t="s">
        <v>891</v>
      </c>
      <c r="AH69" s="693">
        <v>4.9400000000000004</v>
      </c>
      <c r="AI69" s="697" t="s">
        <v>1055</v>
      </c>
      <c r="AJ69" s="698" t="s">
        <v>1124</v>
      </c>
      <c r="AK69" s="699">
        <f>G69*900</f>
        <v>24687</v>
      </c>
      <c r="AL69" s="685" t="s">
        <v>159</v>
      </c>
      <c r="AM69" s="699">
        <v>2500</v>
      </c>
      <c r="AN69" s="699">
        <v>1000</v>
      </c>
    </row>
    <row r="70" spans="1:41" x14ac:dyDescent="0.3">
      <c r="B70" s="686"/>
      <c r="C70" s="687">
        <v>69</v>
      </c>
      <c r="D70" s="688"/>
      <c r="E70" s="688"/>
      <c r="F70" s="689"/>
      <c r="G70" s="689">
        <v>77.67</v>
      </c>
      <c r="H70" s="690"/>
      <c r="I70" s="691"/>
      <c r="J70" s="692"/>
      <c r="K70" s="692"/>
      <c r="L70" s="692"/>
      <c r="M70" s="693"/>
      <c r="N70" s="693"/>
      <c r="O70" s="691"/>
      <c r="P70" s="688" t="s">
        <v>1121</v>
      </c>
      <c r="Q70" s="694"/>
      <c r="R70" s="688"/>
      <c r="S70" s="688" t="e">
        <f>+#REF!</f>
        <v>#REF!</v>
      </c>
      <c r="T70" s="688"/>
      <c r="U70" s="694"/>
      <c r="V70" s="688"/>
      <c r="W70" s="695"/>
      <c r="X70" s="696"/>
      <c r="Y70" s="688"/>
      <c r="Z70" s="688"/>
      <c r="AA70" s="688"/>
      <c r="AB70" s="688"/>
      <c r="AC70" s="688"/>
      <c r="AD70" s="688"/>
      <c r="AE70" s="689"/>
      <c r="AF70" s="693"/>
      <c r="AG70" s="688"/>
      <c r="AH70" s="693"/>
      <c r="AI70" s="697">
        <v>1958</v>
      </c>
      <c r="AJ70" s="698" t="s">
        <v>1125</v>
      </c>
      <c r="AK70" s="699">
        <f>G70*900</f>
        <v>69903</v>
      </c>
      <c r="AL70" s="685" t="s">
        <v>159</v>
      </c>
      <c r="AM70" s="699">
        <v>2500</v>
      </c>
      <c r="AN70" s="699">
        <v>1000</v>
      </c>
    </row>
    <row r="71" spans="1:41" x14ac:dyDescent="0.3">
      <c r="A71" s="669" t="s">
        <v>1126</v>
      </c>
      <c r="B71" s="686" t="e">
        <f>+B69+1</f>
        <v>#REF!</v>
      </c>
      <c r="C71" s="687">
        <v>70</v>
      </c>
      <c r="D71" s="688">
        <v>100</v>
      </c>
      <c r="E71" s="688">
        <v>212</v>
      </c>
      <c r="F71" s="689"/>
      <c r="G71" s="689">
        <v>27.42</v>
      </c>
      <c r="H71" s="690">
        <v>1.0569999999999999</v>
      </c>
      <c r="I71" s="691">
        <f t="shared" si="0"/>
        <v>0</v>
      </c>
      <c r="J71" s="692">
        <f t="shared" si="1"/>
        <v>0</v>
      </c>
      <c r="K71" s="692">
        <v>0</v>
      </c>
      <c r="L71" s="692">
        <f t="shared" si="2"/>
        <v>0</v>
      </c>
      <c r="M71" s="693">
        <v>3.81</v>
      </c>
      <c r="N71" s="693">
        <v>0</v>
      </c>
      <c r="O71" s="691">
        <f t="shared" si="9"/>
        <v>0</v>
      </c>
      <c r="P71" s="688" t="s">
        <v>1127</v>
      </c>
      <c r="Q71" s="694">
        <v>5000</v>
      </c>
      <c r="R71" s="688" t="s">
        <v>886</v>
      </c>
      <c r="S71" s="688" t="e">
        <f>+#REF!</f>
        <v>#REF!</v>
      </c>
      <c r="T71" s="688" t="s">
        <v>1128</v>
      </c>
      <c r="U71" s="694">
        <v>5000</v>
      </c>
      <c r="V71" s="688" t="s">
        <v>886</v>
      </c>
      <c r="W71" s="695">
        <v>35947</v>
      </c>
      <c r="X71" s="696" t="s">
        <v>1055</v>
      </c>
      <c r="Y71" s="688" t="s">
        <v>1129</v>
      </c>
      <c r="Z71" s="688" t="s">
        <v>1130</v>
      </c>
      <c r="AA71" s="688" t="s">
        <v>891</v>
      </c>
      <c r="AB71" s="688" t="s">
        <v>891</v>
      </c>
      <c r="AC71" s="688"/>
      <c r="AD71" s="688"/>
      <c r="AE71" s="689">
        <v>3818918.54</v>
      </c>
      <c r="AF71" s="693">
        <v>4.91</v>
      </c>
      <c r="AG71" s="688" t="s">
        <v>891</v>
      </c>
      <c r="AH71" s="693">
        <v>4.91</v>
      </c>
      <c r="AI71" s="697" t="s">
        <v>1055</v>
      </c>
      <c r="AJ71" s="698" t="s">
        <v>1131</v>
      </c>
      <c r="AK71" s="699">
        <f>G71*900</f>
        <v>24678</v>
      </c>
      <c r="AL71" s="685" t="s">
        <v>159</v>
      </c>
      <c r="AM71" s="699">
        <v>2500</v>
      </c>
      <c r="AN71" s="699">
        <v>1000</v>
      </c>
    </row>
    <row r="72" spans="1:41" x14ac:dyDescent="0.3">
      <c r="B72" s="686"/>
      <c r="C72" s="687">
        <v>71</v>
      </c>
      <c r="D72" s="688"/>
      <c r="E72" s="688"/>
      <c r="F72" s="689"/>
      <c r="G72" s="689">
        <v>153.26</v>
      </c>
      <c r="H72" s="690"/>
      <c r="I72" s="691"/>
      <c r="J72" s="692"/>
      <c r="K72" s="692"/>
      <c r="L72" s="692"/>
      <c r="M72" s="693"/>
      <c r="N72" s="693"/>
      <c r="O72" s="691"/>
      <c r="P72" s="688" t="s">
        <v>1132</v>
      </c>
      <c r="Q72" s="694"/>
      <c r="R72" s="688"/>
      <c r="S72" s="688" t="e">
        <f>+#REF!</f>
        <v>#REF!</v>
      </c>
      <c r="T72" s="688"/>
      <c r="U72" s="694"/>
      <c r="V72" s="688"/>
      <c r="W72" s="695"/>
      <c r="X72" s="696"/>
      <c r="Y72" s="688"/>
      <c r="Z72" s="688"/>
      <c r="AA72" s="688"/>
      <c r="AB72" s="688"/>
      <c r="AC72" s="688"/>
      <c r="AD72" s="688"/>
      <c r="AE72" s="689"/>
      <c r="AF72" s="693"/>
      <c r="AG72" s="688"/>
      <c r="AH72" s="693"/>
      <c r="AI72" s="697">
        <v>1980</v>
      </c>
      <c r="AJ72" s="698" t="s">
        <v>1133</v>
      </c>
      <c r="AK72" s="699">
        <f>G72*1000</f>
        <v>153260</v>
      </c>
      <c r="AL72" s="685" t="s">
        <v>159</v>
      </c>
      <c r="AM72" s="699">
        <v>2500</v>
      </c>
      <c r="AN72" s="699">
        <v>1000</v>
      </c>
      <c r="AO72" s="995">
        <v>10000</v>
      </c>
    </row>
    <row r="73" spans="1:41" x14ac:dyDescent="0.3">
      <c r="B73" s="686"/>
      <c r="C73" s="687">
        <v>72</v>
      </c>
      <c r="D73" s="688"/>
      <c r="E73" s="688"/>
      <c r="F73" s="689"/>
      <c r="G73" s="689">
        <v>141.96</v>
      </c>
      <c r="H73" s="690"/>
      <c r="I73" s="691"/>
      <c r="J73" s="692"/>
      <c r="K73" s="692"/>
      <c r="L73" s="692"/>
      <c r="M73" s="693"/>
      <c r="N73" s="693"/>
      <c r="O73" s="691"/>
      <c r="P73" s="688" t="s">
        <v>1132</v>
      </c>
      <c r="Q73" s="694"/>
      <c r="R73" s="688"/>
      <c r="S73" s="688" t="e">
        <f>+#REF!</f>
        <v>#REF!</v>
      </c>
      <c r="T73" s="688"/>
      <c r="U73" s="694"/>
      <c r="V73" s="688"/>
      <c r="W73" s="695"/>
      <c r="X73" s="696"/>
      <c r="Y73" s="688"/>
      <c r="Z73" s="688"/>
      <c r="AA73" s="688"/>
      <c r="AB73" s="688"/>
      <c r="AC73" s="688"/>
      <c r="AD73" s="688"/>
      <c r="AE73" s="689"/>
      <c r="AF73" s="693"/>
      <c r="AG73" s="688"/>
      <c r="AH73" s="693"/>
      <c r="AI73" s="697">
        <v>1980</v>
      </c>
      <c r="AJ73" s="698" t="s">
        <v>1134</v>
      </c>
      <c r="AK73" s="699">
        <f>G73*1000</f>
        <v>141960</v>
      </c>
      <c r="AL73" s="685" t="s">
        <v>159</v>
      </c>
      <c r="AM73" s="699">
        <v>2500</v>
      </c>
      <c r="AN73" s="699">
        <v>1000</v>
      </c>
      <c r="AO73" s="996"/>
    </row>
    <row r="74" spans="1:41" s="716" customFormat="1" x14ac:dyDescent="0.3">
      <c r="A74" s="701" t="s">
        <v>1135</v>
      </c>
      <c r="B74" s="702" t="e">
        <f>+B71+1</f>
        <v>#REF!</v>
      </c>
      <c r="C74" s="703">
        <v>73</v>
      </c>
      <c r="D74" s="704">
        <v>100</v>
      </c>
      <c r="E74" s="704">
        <v>149</v>
      </c>
      <c r="F74" s="705"/>
      <c r="G74" s="705">
        <v>24.15</v>
      </c>
      <c r="H74" s="706">
        <v>1</v>
      </c>
      <c r="I74" s="707">
        <f t="shared" si="0"/>
        <v>0</v>
      </c>
      <c r="J74" s="708">
        <f t="shared" si="1"/>
        <v>0</v>
      </c>
      <c r="K74" s="708">
        <v>0</v>
      </c>
      <c r="L74" s="708">
        <f t="shared" si="2"/>
        <v>0</v>
      </c>
      <c r="M74" s="709">
        <v>0</v>
      </c>
      <c r="N74" s="709">
        <v>0</v>
      </c>
      <c r="O74" s="707">
        <f t="shared" si="9"/>
        <v>0</v>
      </c>
      <c r="P74" s="704" t="s">
        <v>1136</v>
      </c>
      <c r="Q74" s="710">
        <v>5000</v>
      </c>
      <c r="R74" s="704" t="s">
        <v>886</v>
      </c>
      <c r="S74" s="704" t="e">
        <f>+#REF!</f>
        <v>#REF!</v>
      </c>
      <c r="T74" s="704" t="s">
        <v>1136</v>
      </c>
      <c r="U74" s="710">
        <v>5000</v>
      </c>
      <c r="V74" s="704" t="s">
        <v>886</v>
      </c>
      <c r="W74" s="711">
        <v>37413</v>
      </c>
      <c r="X74" s="712" t="s">
        <v>1137</v>
      </c>
      <c r="Y74" s="704" t="s">
        <v>1138</v>
      </c>
      <c r="Z74" s="704" t="s">
        <v>1139</v>
      </c>
      <c r="AA74" s="704" t="s">
        <v>891</v>
      </c>
      <c r="AB74" s="704" t="s">
        <v>891</v>
      </c>
      <c r="AC74" s="704"/>
      <c r="AD74" s="704"/>
      <c r="AE74" s="705">
        <v>926079.7</v>
      </c>
      <c r="AF74" s="709">
        <v>0</v>
      </c>
      <c r="AG74" s="704" t="s">
        <v>891</v>
      </c>
      <c r="AH74" s="709">
        <v>0</v>
      </c>
      <c r="AI74" s="713" t="s">
        <v>1137</v>
      </c>
      <c r="AJ74" s="714" t="s">
        <v>1140</v>
      </c>
      <c r="AK74" s="715">
        <f>G74*600</f>
        <v>14490</v>
      </c>
      <c r="AL74" s="685" t="s">
        <v>160</v>
      </c>
      <c r="AM74" s="699">
        <v>2500</v>
      </c>
      <c r="AN74" s="699">
        <v>1000</v>
      </c>
      <c r="AO74" s="997">
        <v>10000</v>
      </c>
    </row>
    <row r="75" spans="1:41" s="716" customFormat="1" x14ac:dyDescent="0.3">
      <c r="A75" s="701" t="s">
        <v>1141</v>
      </c>
      <c r="B75" s="702" t="e">
        <f t="shared" ref="B75:B81" si="11">+B74+1</f>
        <v>#REF!</v>
      </c>
      <c r="C75" s="703">
        <f t="shared" si="8"/>
        <v>74</v>
      </c>
      <c r="D75" s="704">
        <v>100</v>
      </c>
      <c r="E75" s="704">
        <v>209</v>
      </c>
      <c r="F75" s="705"/>
      <c r="G75" s="705">
        <v>40.97</v>
      </c>
      <c r="H75" s="706">
        <v>1.024</v>
      </c>
      <c r="I75" s="707">
        <f t="shared" si="0"/>
        <v>0</v>
      </c>
      <c r="J75" s="708">
        <f t="shared" si="1"/>
        <v>0</v>
      </c>
      <c r="K75" s="708">
        <v>11381</v>
      </c>
      <c r="L75" s="708">
        <f t="shared" si="2"/>
        <v>-11381</v>
      </c>
      <c r="M75" s="709">
        <v>2.54</v>
      </c>
      <c r="N75" s="709">
        <v>0</v>
      </c>
      <c r="O75" s="707">
        <f t="shared" si="9"/>
        <v>0</v>
      </c>
      <c r="P75" s="704" t="s">
        <v>1136</v>
      </c>
      <c r="Q75" s="710">
        <v>5000</v>
      </c>
      <c r="R75" s="704" t="s">
        <v>886</v>
      </c>
      <c r="S75" s="704" t="e">
        <f>+#REF!</f>
        <v>#REF!</v>
      </c>
      <c r="T75" s="704" t="s">
        <v>1136</v>
      </c>
      <c r="U75" s="710">
        <v>5000</v>
      </c>
      <c r="V75" s="704" t="s">
        <v>886</v>
      </c>
      <c r="W75" s="711">
        <v>36220</v>
      </c>
      <c r="X75" s="712" t="s">
        <v>1137</v>
      </c>
      <c r="Y75" s="704" t="s">
        <v>1142</v>
      </c>
      <c r="Z75" s="704" t="s">
        <v>1143</v>
      </c>
      <c r="AA75" s="704" t="s">
        <v>891</v>
      </c>
      <c r="AB75" s="704" t="s">
        <v>891</v>
      </c>
      <c r="AC75" s="704" t="s">
        <v>1074</v>
      </c>
      <c r="AD75" s="704" t="s">
        <v>1075</v>
      </c>
      <c r="AE75" s="705">
        <v>5548154.2699999996</v>
      </c>
      <c r="AF75" s="709">
        <v>10.98</v>
      </c>
      <c r="AG75" s="704" t="s">
        <v>891</v>
      </c>
      <c r="AH75" s="709">
        <v>10.98</v>
      </c>
      <c r="AI75" s="713" t="s">
        <v>1137</v>
      </c>
      <c r="AJ75" s="714" t="s">
        <v>1144</v>
      </c>
      <c r="AK75" s="715">
        <f t="shared" ref="AK75:AK81" si="12">G75*600</f>
        <v>24582</v>
      </c>
      <c r="AL75" s="685" t="s">
        <v>160</v>
      </c>
      <c r="AM75" s="699">
        <v>2500</v>
      </c>
      <c r="AN75" s="699">
        <v>1000</v>
      </c>
      <c r="AO75" s="998"/>
    </row>
    <row r="76" spans="1:41" s="716" customFormat="1" x14ac:dyDescent="0.3">
      <c r="A76" s="701" t="s">
        <v>1145</v>
      </c>
      <c r="B76" s="702" t="e">
        <f t="shared" si="11"/>
        <v>#REF!</v>
      </c>
      <c r="C76" s="703">
        <f t="shared" si="8"/>
        <v>75</v>
      </c>
      <c r="D76" s="704">
        <v>100</v>
      </c>
      <c r="E76" s="704">
        <v>164</v>
      </c>
      <c r="F76" s="705"/>
      <c r="G76" s="705">
        <v>24.59</v>
      </c>
      <c r="H76" s="706">
        <v>1.024</v>
      </c>
      <c r="I76" s="707">
        <f t="shared" si="0"/>
        <v>0</v>
      </c>
      <c r="J76" s="708">
        <f t="shared" si="1"/>
        <v>0</v>
      </c>
      <c r="K76" s="708">
        <v>0</v>
      </c>
      <c r="L76" s="708">
        <f t="shared" si="2"/>
        <v>0</v>
      </c>
      <c r="M76" s="709">
        <v>0</v>
      </c>
      <c r="N76" s="709">
        <v>0</v>
      </c>
      <c r="O76" s="707">
        <f t="shared" si="9"/>
        <v>0</v>
      </c>
      <c r="P76" s="704" t="s">
        <v>1136</v>
      </c>
      <c r="Q76" s="710">
        <v>5000</v>
      </c>
      <c r="R76" s="704" t="s">
        <v>886</v>
      </c>
      <c r="S76" s="704" t="e">
        <f>+#REF!</f>
        <v>#REF!</v>
      </c>
      <c r="T76" s="704" t="s">
        <v>1136</v>
      </c>
      <c r="U76" s="710">
        <v>5000</v>
      </c>
      <c r="V76" s="704" t="s">
        <v>886</v>
      </c>
      <c r="W76" s="711">
        <v>34335</v>
      </c>
      <c r="X76" s="712" t="s">
        <v>1137</v>
      </c>
      <c r="Y76" s="704" t="s">
        <v>1146</v>
      </c>
      <c r="Z76" s="704" t="s">
        <v>1147</v>
      </c>
      <c r="AA76" s="704" t="s">
        <v>891</v>
      </c>
      <c r="AB76" s="704" t="s">
        <v>891</v>
      </c>
      <c r="AC76" s="704"/>
      <c r="AD76" s="704"/>
      <c r="AE76" s="705">
        <v>2596906.2799999998</v>
      </c>
      <c r="AF76" s="709">
        <v>7.02</v>
      </c>
      <c r="AG76" s="704" t="s">
        <v>891</v>
      </c>
      <c r="AH76" s="709">
        <v>7.02</v>
      </c>
      <c r="AI76" s="713" t="s">
        <v>1137</v>
      </c>
      <c r="AJ76" s="714" t="s">
        <v>1148</v>
      </c>
      <c r="AK76" s="715">
        <f t="shared" si="12"/>
        <v>14754</v>
      </c>
      <c r="AL76" s="685" t="s">
        <v>160</v>
      </c>
      <c r="AM76" s="699">
        <v>2500</v>
      </c>
      <c r="AN76" s="699">
        <v>1000</v>
      </c>
      <c r="AO76" s="998"/>
    </row>
    <row r="77" spans="1:41" s="716" customFormat="1" x14ac:dyDescent="0.3">
      <c r="A77" s="701" t="s">
        <v>1149</v>
      </c>
      <c r="B77" s="702" t="e">
        <f t="shared" si="11"/>
        <v>#REF!</v>
      </c>
      <c r="C77" s="703">
        <f t="shared" si="8"/>
        <v>76</v>
      </c>
      <c r="D77" s="704">
        <v>100</v>
      </c>
      <c r="E77" s="704">
        <v>164</v>
      </c>
      <c r="F77" s="705"/>
      <c r="G77" s="705">
        <v>36.5</v>
      </c>
      <c r="H77" s="706">
        <v>1.024</v>
      </c>
      <c r="I77" s="707">
        <f t="shared" si="0"/>
        <v>0</v>
      </c>
      <c r="J77" s="708">
        <f t="shared" si="1"/>
        <v>0</v>
      </c>
      <c r="K77" s="708">
        <v>0</v>
      </c>
      <c r="L77" s="708">
        <f t="shared" si="2"/>
        <v>0</v>
      </c>
      <c r="M77" s="709">
        <v>0</v>
      </c>
      <c r="N77" s="709">
        <v>0</v>
      </c>
      <c r="O77" s="707">
        <f t="shared" si="9"/>
        <v>0</v>
      </c>
      <c r="P77" s="704" t="s">
        <v>1136</v>
      </c>
      <c r="Q77" s="710">
        <v>5000</v>
      </c>
      <c r="R77" s="704" t="s">
        <v>886</v>
      </c>
      <c r="S77" s="704" t="e">
        <f>+#REF!</f>
        <v>#REF!</v>
      </c>
      <c r="T77" s="704" t="s">
        <v>1136</v>
      </c>
      <c r="U77" s="710">
        <v>5000</v>
      </c>
      <c r="V77" s="704" t="s">
        <v>886</v>
      </c>
      <c r="W77" s="711">
        <v>34335</v>
      </c>
      <c r="X77" s="712" t="s">
        <v>1137</v>
      </c>
      <c r="Y77" s="704" t="s">
        <v>1150</v>
      </c>
      <c r="Z77" s="704" t="s">
        <v>1151</v>
      </c>
      <c r="AA77" s="704" t="s">
        <v>891</v>
      </c>
      <c r="AB77" s="704" t="s">
        <v>891</v>
      </c>
      <c r="AC77" s="704"/>
      <c r="AD77" s="704"/>
      <c r="AE77" s="705">
        <v>3932935.24</v>
      </c>
      <c r="AF77" s="709">
        <v>10.63</v>
      </c>
      <c r="AG77" s="704" t="s">
        <v>891</v>
      </c>
      <c r="AH77" s="709">
        <v>10.63</v>
      </c>
      <c r="AI77" s="713" t="s">
        <v>1137</v>
      </c>
      <c r="AJ77" s="714" t="s">
        <v>1152</v>
      </c>
      <c r="AK77" s="715">
        <f t="shared" si="12"/>
        <v>21900</v>
      </c>
      <c r="AL77" s="685" t="s">
        <v>160</v>
      </c>
      <c r="AM77" s="699">
        <v>2500</v>
      </c>
      <c r="AN77" s="699">
        <v>1000</v>
      </c>
      <c r="AO77" s="998"/>
    </row>
    <row r="78" spans="1:41" s="716" customFormat="1" x14ac:dyDescent="0.3">
      <c r="A78" s="701" t="s">
        <v>1153</v>
      </c>
      <c r="B78" s="702" t="e">
        <f t="shared" si="11"/>
        <v>#REF!</v>
      </c>
      <c r="C78" s="703">
        <f t="shared" si="8"/>
        <v>77</v>
      </c>
      <c r="D78" s="704">
        <v>100</v>
      </c>
      <c r="E78" s="704">
        <v>161</v>
      </c>
      <c r="F78" s="705"/>
      <c r="G78" s="705">
        <v>35.78</v>
      </c>
      <c r="H78" s="706">
        <v>1.024</v>
      </c>
      <c r="I78" s="707">
        <f t="shared" si="0"/>
        <v>0</v>
      </c>
      <c r="J78" s="708">
        <f t="shared" si="1"/>
        <v>0</v>
      </c>
      <c r="K78" s="708">
        <v>0</v>
      </c>
      <c r="L78" s="708">
        <f t="shared" si="2"/>
        <v>0</v>
      </c>
      <c r="M78" s="709">
        <v>0</v>
      </c>
      <c r="N78" s="709">
        <v>0</v>
      </c>
      <c r="O78" s="707">
        <f t="shared" si="9"/>
        <v>0</v>
      </c>
      <c r="P78" s="704" t="s">
        <v>1136</v>
      </c>
      <c r="Q78" s="710">
        <v>5000</v>
      </c>
      <c r="R78" s="704" t="s">
        <v>886</v>
      </c>
      <c r="S78" s="704" t="e">
        <f>+#REF!</f>
        <v>#REF!</v>
      </c>
      <c r="T78" s="704" t="s">
        <v>1154</v>
      </c>
      <c r="U78" s="710">
        <v>5000</v>
      </c>
      <c r="V78" s="704" t="s">
        <v>886</v>
      </c>
      <c r="W78" s="711">
        <v>37653</v>
      </c>
      <c r="X78" s="712" t="s">
        <v>1137</v>
      </c>
      <c r="Y78" s="704" t="s">
        <v>1155</v>
      </c>
      <c r="Z78" s="704" t="s">
        <v>1156</v>
      </c>
      <c r="AA78" s="704" t="s">
        <v>891</v>
      </c>
      <c r="AB78" s="704" t="s">
        <v>891</v>
      </c>
      <c r="AC78" s="704"/>
      <c r="AD78" s="704"/>
      <c r="AE78" s="705">
        <v>2596537.14</v>
      </c>
      <c r="AF78" s="709">
        <v>7.02</v>
      </c>
      <c r="AG78" s="704" t="s">
        <v>891</v>
      </c>
      <c r="AH78" s="709">
        <v>7.02</v>
      </c>
      <c r="AI78" s="713" t="s">
        <v>1137</v>
      </c>
      <c r="AJ78" s="714" t="s">
        <v>1157</v>
      </c>
      <c r="AK78" s="715">
        <f t="shared" si="12"/>
        <v>21468</v>
      </c>
      <c r="AL78" s="685" t="s">
        <v>160</v>
      </c>
      <c r="AM78" s="699">
        <v>2500</v>
      </c>
      <c r="AN78" s="699">
        <v>1000</v>
      </c>
      <c r="AO78" s="998"/>
    </row>
    <row r="79" spans="1:41" s="716" customFormat="1" x14ac:dyDescent="0.3">
      <c r="A79" s="701" t="s">
        <v>1158</v>
      </c>
      <c r="B79" s="702" t="e">
        <f t="shared" si="11"/>
        <v>#REF!</v>
      </c>
      <c r="C79" s="703">
        <f t="shared" si="8"/>
        <v>78</v>
      </c>
      <c r="D79" s="704">
        <v>100</v>
      </c>
      <c r="E79" s="704">
        <v>149</v>
      </c>
      <c r="F79" s="705"/>
      <c r="G79" s="705">
        <v>51.58</v>
      </c>
      <c r="H79" s="706">
        <v>1.024</v>
      </c>
      <c r="I79" s="707">
        <f t="shared" si="0"/>
        <v>0</v>
      </c>
      <c r="J79" s="708">
        <f t="shared" si="1"/>
        <v>0</v>
      </c>
      <c r="K79" s="708">
        <v>0</v>
      </c>
      <c r="L79" s="708">
        <f t="shared" si="2"/>
        <v>0</v>
      </c>
      <c r="M79" s="709">
        <v>2.54</v>
      </c>
      <c r="N79" s="709">
        <v>0</v>
      </c>
      <c r="O79" s="707">
        <f t="shared" si="9"/>
        <v>0</v>
      </c>
      <c r="P79" s="704" t="s">
        <v>1136</v>
      </c>
      <c r="Q79" s="710">
        <v>5000</v>
      </c>
      <c r="R79" s="704" t="s">
        <v>886</v>
      </c>
      <c r="S79" s="704" t="e">
        <f>+#REF!</f>
        <v>#REF!</v>
      </c>
      <c r="T79" s="704" t="s">
        <v>1136</v>
      </c>
      <c r="U79" s="710">
        <v>5000</v>
      </c>
      <c r="V79" s="704" t="s">
        <v>886</v>
      </c>
      <c r="W79" s="711">
        <v>34249</v>
      </c>
      <c r="X79" s="712" t="s">
        <v>1137</v>
      </c>
      <c r="Y79" s="704" t="s">
        <v>1159</v>
      </c>
      <c r="Z79" s="704" t="s">
        <v>1160</v>
      </c>
      <c r="AA79" s="704" t="s">
        <v>891</v>
      </c>
      <c r="AB79" s="704" t="s">
        <v>891</v>
      </c>
      <c r="AC79" s="704"/>
      <c r="AD79" s="704"/>
      <c r="AE79" s="705">
        <v>3869086.9</v>
      </c>
      <c r="AF79" s="709">
        <v>10.45</v>
      </c>
      <c r="AG79" s="704" t="s">
        <v>891</v>
      </c>
      <c r="AH79" s="709">
        <v>10.45</v>
      </c>
      <c r="AI79" s="713" t="s">
        <v>1137</v>
      </c>
      <c r="AJ79" s="714" t="s">
        <v>1161</v>
      </c>
      <c r="AK79" s="715">
        <f t="shared" si="12"/>
        <v>30948</v>
      </c>
      <c r="AL79" s="685" t="s">
        <v>160</v>
      </c>
      <c r="AM79" s="699">
        <v>2500</v>
      </c>
      <c r="AN79" s="699">
        <v>1000</v>
      </c>
      <c r="AO79" s="998"/>
    </row>
    <row r="80" spans="1:41" s="716" customFormat="1" x14ac:dyDescent="0.3">
      <c r="A80" s="701" t="s">
        <v>1162</v>
      </c>
      <c r="B80" s="702" t="e">
        <f t="shared" si="11"/>
        <v>#REF!</v>
      </c>
      <c r="C80" s="703">
        <f t="shared" si="8"/>
        <v>79</v>
      </c>
      <c r="D80" s="704">
        <v>100</v>
      </c>
      <c r="E80" s="704">
        <v>169</v>
      </c>
      <c r="F80" s="705"/>
      <c r="G80" s="705">
        <v>60.41</v>
      </c>
      <c r="H80" s="706">
        <v>1.024</v>
      </c>
      <c r="I80" s="707">
        <f t="shared" si="0"/>
        <v>0</v>
      </c>
      <c r="J80" s="708">
        <f t="shared" si="1"/>
        <v>0</v>
      </c>
      <c r="K80" s="708">
        <v>0</v>
      </c>
      <c r="L80" s="708">
        <f t="shared" si="2"/>
        <v>0</v>
      </c>
      <c r="M80" s="709">
        <v>2.54</v>
      </c>
      <c r="N80" s="709">
        <v>0</v>
      </c>
      <c r="O80" s="707">
        <f t="shared" si="9"/>
        <v>0</v>
      </c>
      <c r="P80" s="704" t="s">
        <v>1136</v>
      </c>
      <c r="Q80" s="710">
        <v>5000</v>
      </c>
      <c r="R80" s="704" t="s">
        <v>886</v>
      </c>
      <c r="S80" s="704" t="e">
        <f>+#REF!</f>
        <v>#REF!</v>
      </c>
      <c r="T80" s="704" t="s">
        <v>1136</v>
      </c>
      <c r="U80" s="710">
        <v>5000</v>
      </c>
      <c r="V80" s="704" t="s">
        <v>886</v>
      </c>
      <c r="W80" s="711">
        <v>34563</v>
      </c>
      <c r="X80" s="712" t="s">
        <v>1137</v>
      </c>
      <c r="Y80" s="704" t="s">
        <v>1163</v>
      </c>
      <c r="Z80" s="704" t="s">
        <v>1164</v>
      </c>
      <c r="AA80" s="704" t="s">
        <v>891</v>
      </c>
      <c r="AB80" s="704" t="s">
        <v>891</v>
      </c>
      <c r="AC80" s="704"/>
      <c r="AD80" s="704"/>
      <c r="AE80" s="705">
        <v>3401031.25</v>
      </c>
      <c r="AF80" s="709">
        <v>9.19</v>
      </c>
      <c r="AG80" s="704" t="s">
        <v>891</v>
      </c>
      <c r="AH80" s="709">
        <v>9.19</v>
      </c>
      <c r="AI80" s="713" t="s">
        <v>1137</v>
      </c>
      <c r="AJ80" s="714" t="s">
        <v>1165</v>
      </c>
      <c r="AK80" s="715">
        <f t="shared" si="12"/>
        <v>36246</v>
      </c>
      <c r="AL80" s="685" t="s">
        <v>160</v>
      </c>
      <c r="AM80" s="699">
        <v>2500</v>
      </c>
      <c r="AN80" s="699">
        <v>1000</v>
      </c>
      <c r="AO80" s="996"/>
    </row>
    <row r="81" spans="1:41" x14ac:dyDescent="0.3">
      <c r="A81" s="669" t="s">
        <v>1166</v>
      </c>
      <c r="B81" s="686" t="e">
        <f t="shared" si="11"/>
        <v>#REF!</v>
      </c>
      <c r="C81" s="687">
        <f t="shared" si="8"/>
        <v>80</v>
      </c>
      <c r="D81" s="688">
        <v>100</v>
      </c>
      <c r="E81" s="688">
        <v>170</v>
      </c>
      <c r="F81" s="689"/>
      <c r="G81" s="689">
        <v>33.21</v>
      </c>
      <c r="H81" s="690">
        <v>1.024</v>
      </c>
      <c r="I81" s="691">
        <f t="shared" si="0"/>
        <v>0</v>
      </c>
      <c r="J81" s="692">
        <f t="shared" si="1"/>
        <v>0</v>
      </c>
      <c r="K81" s="692">
        <v>0</v>
      </c>
      <c r="L81" s="692">
        <f t="shared" si="2"/>
        <v>0</v>
      </c>
      <c r="M81" s="693">
        <v>2.54</v>
      </c>
      <c r="N81" s="693">
        <v>0</v>
      </c>
      <c r="O81" s="691">
        <f t="shared" si="9"/>
        <v>0</v>
      </c>
      <c r="P81" s="688" t="s">
        <v>1167</v>
      </c>
      <c r="Q81" s="694">
        <v>5000</v>
      </c>
      <c r="R81" s="688" t="s">
        <v>886</v>
      </c>
      <c r="S81" s="688" t="e">
        <f>+#REF!</f>
        <v>#REF!</v>
      </c>
      <c r="T81" s="688" t="s">
        <v>1167</v>
      </c>
      <c r="U81" s="694">
        <v>5000</v>
      </c>
      <c r="V81" s="688" t="s">
        <v>886</v>
      </c>
      <c r="W81" s="695">
        <v>34335</v>
      </c>
      <c r="X81" s="696" t="s">
        <v>1168</v>
      </c>
      <c r="Y81" s="688" t="s">
        <v>1169</v>
      </c>
      <c r="Z81" s="688" t="s">
        <v>1170</v>
      </c>
      <c r="AA81" s="688" t="s">
        <v>891</v>
      </c>
      <c r="AB81" s="688" t="s">
        <v>891</v>
      </c>
      <c r="AC81" s="688"/>
      <c r="AD81" s="688"/>
      <c r="AE81" s="689">
        <v>3224239.08</v>
      </c>
      <c r="AF81" s="693">
        <v>10.39</v>
      </c>
      <c r="AG81" s="688" t="s">
        <v>891</v>
      </c>
      <c r="AH81" s="693">
        <v>10.39</v>
      </c>
      <c r="AI81" s="697">
        <v>1880</v>
      </c>
      <c r="AJ81" s="698" t="s">
        <v>1171</v>
      </c>
      <c r="AK81" s="715">
        <f t="shared" si="12"/>
        <v>19926</v>
      </c>
      <c r="AL81" s="685" t="s">
        <v>160</v>
      </c>
      <c r="AM81" s="699">
        <v>2500</v>
      </c>
      <c r="AN81" s="699">
        <v>1000</v>
      </c>
      <c r="AO81" s="717">
        <v>10000</v>
      </c>
    </row>
    <row r="82" spans="1:41" x14ac:dyDescent="0.3">
      <c r="B82" s="686"/>
      <c r="C82" s="687">
        <v>81</v>
      </c>
      <c r="D82" s="718"/>
      <c r="E82" s="718"/>
      <c r="F82" s="719"/>
      <c r="G82" s="719">
        <v>31.1</v>
      </c>
      <c r="H82" s="720"/>
      <c r="I82" s="721"/>
      <c r="J82" s="722"/>
      <c r="K82" s="722"/>
      <c r="L82" s="722"/>
      <c r="M82" s="723"/>
      <c r="N82" s="723"/>
      <c r="O82" s="721"/>
      <c r="P82" s="718" t="s">
        <v>1172</v>
      </c>
      <c r="Q82" s="724"/>
      <c r="R82" s="718"/>
      <c r="S82" s="718" t="e">
        <f>+#REF!</f>
        <v>#REF!</v>
      </c>
      <c r="T82" s="718"/>
      <c r="U82" s="724"/>
      <c r="V82" s="718"/>
      <c r="W82" s="725"/>
      <c r="X82" s="726"/>
      <c r="Y82" s="718"/>
      <c r="Z82" s="718"/>
      <c r="AA82" s="718"/>
      <c r="AB82" s="718"/>
      <c r="AC82" s="718"/>
      <c r="AD82" s="718"/>
      <c r="AE82" s="719"/>
      <c r="AF82" s="723"/>
      <c r="AG82" s="718"/>
      <c r="AH82" s="723"/>
      <c r="AI82" s="727">
        <v>2006</v>
      </c>
      <c r="AJ82" s="728" t="s">
        <v>1173</v>
      </c>
      <c r="AK82" s="699"/>
      <c r="AM82" s="699"/>
      <c r="AN82" s="699"/>
    </row>
    <row r="83" spans="1:41" x14ac:dyDescent="0.3">
      <c r="B83" s="686"/>
      <c r="C83" s="687">
        <v>82</v>
      </c>
      <c r="D83" s="718"/>
      <c r="E83" s="718"/>
      <c r="F83" s="719"/>
      <c r="G83" s="719">
        <v>51.64</v>
      </c>
      <c r="H83" s="720"/>
      <c r="I83" s="721"/>
      <c r="J83" s="722"/>
      <c r="K83" s="722"/>
      <c r="L83" s="722"/>
      <c r="M83" s="723"/>
      <c r="N83" s="723"/>
      <c r="O83" s="721"/>
      <c r="P83" s="718" t="s">
        <v>1172</v>
      </c>
      <c r="Q83" s="724"/>
      <c r="R83" s="718"/>
      <c r="S83" s="718" t="e">
        <f>+#REF!</f>
        <v>#REF!</v>
      </c>
      <c r="T83" s="718"/>
      <c r="U83" s="724"/>
      <c r="V83" s="718"/>
      <c r="W83" s="725"/>
      <c r="X83" s="726"/>
      <c r="Y83" s="718"/>
      <c r="Z83" s="718"/>
      <c r="AA83" s="718"/>
      <c r="AB83" s="718"/>
      <c r="AC83" s="718"/>
      <c r="AD83" s="718"/>
      <c r="AE83" s="719"/>
      <c r="AF83" s="723"/>
      <c r="AG83" s="718"/>
      <c r="AH83" s="723"/>
      <c r="AI83" s="727">
        <v>2006</v>
      </c>
      <c r="AJ83" s="728" t="s">
        <v>1174</v>
      </c>
      <c r="AK83" s="699"/>
      <c r="AM83" s="699"/>
      <c r="AN83" s="699"/>
    </row>
    <row r="84" spans="1:41" x14ac:dyDescent="0.3">
      <c r="B84" s="686"/>
      <c r="C84" s="687">
        <v>83</v>
      </c>
      <c r="D84" s="718"/>
      <c r="E84" s="718"/>
      <c r="F84" s="719"/>
      <c r="G84" s="719">
        <v>54.66</v>
      </c>
      <c r="H84" s="720"/>
      <c r="I84" s="721"/>
      <c r="J84" s="722"/>
      <c r="K84" s="722"/>
      <c r="L84" s="722"/>
      <c r="M84" s="723"/>
      <c r="N84" s="723"/>
      <c r="O84" s="721"/>
      <c r="P84" s="718" t="s">
        <v>1172</v>
      </c>
      <c r="Q84" s="724"/>
      <c r="R84" s="718"/>
      <c r="S84" s="718" t="e">
        <f>+#REF!</f>
        <v>#REF!</v>
      </c>
      <c r="T84" s="718"/>
      <c r="U84" s="724"/>
      <c r="V84" s="718"/>
      <c r="W84" s="725"/>
      <c r="X84" s="726"/>
      <c r="Y84" s="718"/>
      <c r="Z84" s="718"/>
      <c r="AA84" s="718"/>
      <c r="AB84" s="718"/>
      <c r="AC84" s="718"/>
      <c r="AD84" s="718"/>
      <c r="AE84" s="719"/>
      <c r="AF84" s="723"/>
      <c r="AG84" s="718"/>
      <c r="AH84" s="723"/>
      <c r="AI84" s="727">
        <v>2006</v>
      </c>
      <c r="AJ84" s="728" t="s">
        <v>1175</v>
      </c>
      <c r="AK84" s="699"/>
      <c r="AM84" s="699"/>
      <c r="AN84" s="699"/>
    </row>
    <row r="85" spans="1:41" x14ac:dyDescent="0.3">
      <c r="B85" s="686"/>
      <c r="C85" s="687">
        <v>84</v>
      </c>
      <c r="D85" s="718"/>
      <c r="E85" s="718"/>
      <c r="F85" s="719"/>
      <c r="G85" s="719">
        <v>38.299999999999997</v>
      </c>
      <c r="H85" s="720"/>
      <c r="I85" s="721"/>
      <c r="J85" s="722"/>
      <c r="K85" s="722"/>
      <c r="L85" s="722"/>
      <c r="M85" s="723"/>
      <c r="N85" s="723"/>
      <c r="O85" s="721"/>
      <c r="P85" s="718" t="s">
        <v>1172</v>
      </c>
      <c r="Q85" s="724"/>
      <c r="R85" s="718"/>
      <c r="S85" s="718" t="e">
        <f>+#REF!</f>
        <v>#REF!</v>
      </c>
      <c r="T85" s="718"/>
      <c r="U85" s="724"/>
      <c r="V85" s="718"/>
      <c r="W85" s="725"/>
      <c r="X85" s="726"/>
      <c r="Y85" s="718"/>
      <c r="Z85" s="718"/>
      <c r="AA85" s="718"/>
      <c r="AB85" s="718"/>
      <c r="AC85" s="718"/>
      <c r="AD85" s="718"/>
      <c r="AE85" s="719"/>
      <c r="AF85" s="723"/>
      <c r="AG85" s="718"/>
      <c r="AH85" s="723"/>
      <c r="AI85" s="727">
        <v>2006</v>
      </c>
      <c r="AJ85" s="728" t="s">
        <v>1176</v>
      </c>
      <c r="AK85" s="699"/>
      <c r="AM85" s="699"/>
      <c r="AN85" s="699"/>
    </row>
    <row r="86" spans="1:41" x14ac:dyDescent="0.3">
      <c r="B86" s="686"/>
      <c r="C86" s="687">
        <v>85</v>
      </c>
      <c r="D86" s="718"/>
      <c r="E86" s="718"/>
      <c r="F86" s="719"/>
      <c r="G86" s="719">
        <v>42.45</v>
      </c>
      <c r="H86" s="720"/>
      <c r="I86" s="721"/>
      <c r="J86" s="722"/>
      <c r="K86" s="722"/>
      <c r="L86" s="722"/>
      <c r="M86" s="723"/>
      <c r="N86" s="723"/>
      <c r="O86" s="721"/>
      <c r="P86" s="718" t="s">
        <v>1172</v>
      </c>
      <c r="Q86" s="724"/>
      <c r="R86" s="718"/>
      <c r="S86" s="718" t="e">
        <f>+#REF!</f>
        <v>#REF!</v>
      </c>
      <c r="T86" s="718"/>
      <c r="U86" s="724"/>
      <c r="V86" s="718"/>
      <c r="W86" s="725"/>
      <c r="X86" s="726"/>
      <c r="Y86" s="718"/>
      <c r="Z86" s="718"/>
      <c r="AA86" s="718"/>
      <c r="AB86" s="718"/>
      <c r="AC86" s="718"/>
      <c r="AD86" s="718"/>
      <c r="AE86" s="719"/>
      <c r="AF86" s="723"/>
      <c r="AG86" s="718"/>
      <c r="AH86" s="723"/>
      <c r="AI86" s="727">
        <v>2006</v>
      </c>
      <c r="AJ86" s="728" t="s">
        <v>1177</v>
      </c>
      <c r="AK86" s="699"/>
      <c r="AM86" s="699"/>
      <c r="AN86" s="699"/>
    </row>
    <row r="87" spans="1:41" x14ac:dyDescent="0.3">
      <c r="B87" s="686"/>
      <c r="C87" s="687">
        <v>86</v>
      </c>
      <c r="D87" s="718"/>
      <c r="E87" s="718"/>
      <c r="F87" s="719"/>
      <c r="G87" s="719">
        <v>38.9</v>
      </c>
      <c r="H87" s="720"/>
      <c r="I87" s="721"/>
      <c r="J87" s="722"/>
      <c r="K87" s="722"/>
      <c r="L87" s="722"/>
      <c r="M87" s="723"/>
      <c r="N87" s="723"/>
      <c r="O87" s="721"/>
      <c r="P87" s="718" t="s">
        <v>1172</v>
      </c>
      <c r="Q87" s="724"/>
      <c r="R87" s="718"/>
      <c r="S87" s="718" t="e">
        <f>+#REF!</f>
        <v>#REF!</v>
      </c>
      <c r="T87" s="718"/>
      <c r="U87" s="724"/>
      <c r="V87" s="718"/>
      <c r="W87" s="725"/>
      <c r="X87" s="726"/>
      <c r="Y87" s="718"/>
      <c r="Z87" s="718"/>
      <c r="AA87" s="718"/>
      <c r="AB87" s="718"/>
      <c r="AC87" s="718"/>
      <c r="AD87" s="718"/>
      <c r="AE87" s="719"/>
      <c r="AF87" s="723"/>
      <c r="AG87" s="718"/>
      <c r="AH87" s="723"/>
      <c r="AI87" s="727">
        <v>2006</v>
      </c>
      <c r="AJ87" s="728" t="s">
        <v>1178</v>
      </c>
      <c r="AK87" s="699"/>
      <c r="AM87" s="699"/>
      <c r="AN87" s="699"/>
    </row>
    <row r="88" spans="1:41" x14ac:dyDescent="0.3">
      <c r="B88" s="686"/>
      <c r="C88" s="687">
        <v>87</v>
      </c>
      <c r="D88" s="718"/>
      <c r="E88" s="718"/>
      <c r="F88" s="719"/>
      <c r="G88" s="719">
        <v>51.79</v>
      </c>
      <c r="H88" s="720"/>
      <c r="I88" s="721"/>
      <c r="J88" s="722"/>
      <c r="K88" s="722"/>
      <c r="L88" s="722"/>
      <c r="M88" s="723"/>
      <c r="N88" s="723"/>
      <c r="O88" s="721"/>
      <c r="P88" s="718" t="s">
        <v>1172</v>
      </c>
      <c r="Q88" s="724"/>
      <c r="R88" s="718"/>
      <c r="S88" s="718" t="e">
        <f>+#REF!</f>
        <v>#REF!</v>
      </c>
      <c r="T88" s="718"/>
      <c r="U88" s="724"/>
      <c r="V88" s="718"/>
      <c r="W88" s="725"/>
      <c r="X88" s="726"/>
      <c r="Y88" s="718"/>
      <c r="Z88" s="718"/>
      <c r="AA88" s="718"/>
      <c r="AB88" s="718"/>
      <c r="AC88" s="718"/>
      <c r="AD88" s="718"/>
      <c r="AE88" s="719"/>
      <c r="AF88" s="723"/>
      <c r="AG88" s="718"/>
      <c r="AH88" s="723"/>
      <c r="AI88" s="727">
        <v>2006</v>
      </c>
      <c r="AJ88" s="728" t="s">
        <v>1179</v>
      </c>
      <c r="AK88" s="699"/>
      <c r="AM88" s="699"/>
      <c r="AN88" s="699"/>
    </row>
    <row r="89" spans="1:41" x14ac:dyDescent="0.3">
      <c r="B89" s="686"/>
      <c r="C89" s="687">
        <v>88</v>
      </c>
      <c r="D89" s="718"/>
      <c r="E89" s="718"/>
      <c r="F89" s="719"/>
      <c r="G89" s="719">
        <v>30.99</v>
      </c>
      <c r="H89" s="720"/>
      <c r="I89" s="721"/>
      <c r="J89" s="722"/>
      <c r="K89" s="722"/>
      <c r="L89" s="722"/>
      <c r="M89" s="723"/>
      <c r="N89" s="723"/>
      <c r="O89" s="721"/>
      <c r="P89" s="718" t="s">
        <v>1172</v>
      </c>
      <c r="Q89" s="724"/>
      <c r="R89" s="718"/>
      <c r="S89" s="718" t="e">
        <f>+#REF!</f>
        <v>#REF!</v>
      </c>
      <c r="T89" s="718"/>
      <c r="U89" s="724"/>
      <c r="V89" s="718"/>
      <c r="W89" s="725"/>
      <c r="X89" s="726"/>
      <c r="Y89" s="718"/>
      <c r="Z89" s="718"/>
      <c r="AA89" s="718"/>
      <c r="AB89" s="718"/>
      <c r="AC89" s="718"/>
      <c r="AD89" s="718"/>
      <c r="AE89" s="719"/>
      <c r="AF89" s="723"/>
      <c r="AG89" s="718"/>
      <c r="AH89" s="723"/>
      <c r="AI89" s="727">
        <v>2006</v>
      </c>
      <c r="AJ89" s="728" t="s">
        <v>1180</v>
      </c>
      <c r="AK89" s="699"/>
      <c r="AM89" s="699"/>
      <c r="AN89" s="699"/>
    </row>
    <row r="90" spans="1:41" x14ac:dyDescent="0.3">
      <c r="B90" s="686"/>
      <c r="C90" s="687">
        <v>89</v>
      </c>
      <c r="D90" s="718"/>
      <c r="E90" s="718"/>
      <c r="F90" s="719"/>
      <c r="G90" s="719">
        <v>31</v>
      </c>
      <c r="H90" s="720"/>
      <c r="I90" s="721"/>
      <c r="J90" s="722"/>
      <c r="K90" s="722"/>
      <c r="L90" s="722"/>
      <c r="M90" s="723"/>
      <c r="N90" s="723"/>
      <c r="O90" s="721"/>
      <c r="P90" s="718" t="s">
        <v>1172</v>
      </c>
      <c r="Q90" s="724"/>
      <c r="R90" s="718"/>
      <c r="S90" s="718" t="e">
        <f>+#REF!</f>
        <v>#REF!</v>
      </c>
      <c r="T90" s="718"/>
      <c r="U90" s="724"/>
      <c r="V90" s="718"/>
      <c r="W90" s="725"/>
      <c r="X90" s="726"/>
      <c r="Y90" s="718"/>
      <c r="Z90" s="718"/>
      <c r="AA90" s="718"/>
      <c r="AB90" s="718"/>
      <c r="AC90" s="718"/>
      <c r="AD90" s="718"/>
      <c r="AE90" s="719"/>
      <c r="AF90" s="723"/>
      <c r="AG90" s="718"/>
      <c r="AH90" s="723"/>
      <c r="AI90" s="727">
        <v>2006</v>
      </c>
      <c r="AJ90" s="728" t="s">
        <v>1181</v>
      </c>
      <c r="AK90" s="699"/>
      <c r="AM90" s="699"/>
      <c r="AN90" s="699"/>
    </row>
    <row r="91" spans="1:41" x14ac:dyDescent="0.3">
      <c r="A91" s="669" t="s">
        <v>1182</v>
      </c>
      <c r="B91" s="686">
        <v>1</v>
      </c>
      <c r="C91" s="687">
        <v>90</v>
      </c>
      <c r="D91" s="688">
        <v>100</v>
      </c>
      <c r="E91" s="688">
        <v>239</v>
      </c>
      <c r="F91" s="689"/>
      <c r="G91" s="689">
        <v>23.2</v>
      </c>
      <c r="H91" s="690">
        <v>1.024</v>
      </c>
      <c r="I91" s="691">
        <f t="shared" si="0"/>
        <v>0</v>
      </c>
      <c r="J91" s="692">
        <f t="shared" si="1"/>
        <v>0</v>
      </c>
      <c r="K91" s="692">
        <v>0</v>
      </c>
      <c r="L91" s="692">
        <f t="shared" si="2"/>
        <v>0</v>
      </c>
      <c r="M91" s="693">
        <v>2.54</v>
      </c>
      <c r="N91" s="693">
        <v>0</v>
      </c>
      <c r="O91" s="691">
        <f t="shared" si="9"/>
        <v>0</v>
      </c>
      <c r="P91" s="688" t="s">
        <v>1183</v>
      </c>
      <c r="Q91" s="694">
        <v>5294</v>
      </c>
      <c r="R91" s="688" t="s">
        <v>750</v>
      </c>
      <c r="S91" s="688" t="e">
        <f>+#REF!</f>
        <v>#REF!</v>
      </c>
      <c r="T91" s="688" t="s">
        <v>1184</v>
      </c>
      <c r="U91" s="694">
        <v>5294</v>
      </c>
      <c r="V91" s="688" t="s">
        <v>750</v>
      </c>
      <c r="W91" s="695">
        <v>35034</v>
      </c>
      <c r="X91" s="696" t="s">
        <v>1168</v>
      </c>
      <c r="Y91" s="688" t="s">
        <v>1185</v>
      </c>
      <c r="Z91" s="688" t="s">
        <v>1186</v>
      </c>
      <c r="AA91" s="688" t="s">
        <v>891</v>
      </c>
      <c r="AB91" s="688" t="s">
        <v>891</v>
      </c>
      <c r="AC91" s="688"/>
      <c r="AD91" s="688"/>
      <c r="AE91" s="689">
        <v>3688686.08</v>
      </c>
      <c r="AF91" s="693">
        <v>16.11</v>
      </c>
      <c r="AG91" s="688" t="s">
        <v>891</v>
      </c>
      <c r="AH91" s="693">
        <v>16.11</v>
      </c>
      <c r="AI91" s="697" t="s">
        <v>1168</v>
      </c>
      <c r="AJ91" s="698" t="s">
        <v>1187</v>
      </c>
      <c r="AK91" s="699">
        <f>G91*600</f>
        <v>13920</v>
      </c>
      <c r="AL91" s="685" t="s">
        <v>160</v>
      </c>
      <c r="AM91" s="699">
        <v>2500</v>
      </c>
      <c r="AN91" s="699">
        <v>1000</v>
      </c>
    </row>
    <row r="92" spans="1:41" x14ac:dyDescent="0.3">
      <c r="A92" s="669" t="s">
        <v>1188</v>
      </c>
      <c r="B92" s="686">
        <f>+B91+1</f>
        <v>2</v>
      </c>
      <c r="C92" s="687">
        <f t="shared" si="8"/>
        <v>91</v>
      </c>
      <c r="D92" s="688">
        <v>100</v>
      </c>
      <c r="E92" s="688">
        <v>255</v>
      </c>
      <c r="F92" s="689"/>
      <c r="G92" s="689">
        <v>21.61</v>
      </c>
      <c r="H92" s="690">
        <v>1.024</v>
      </c>
      <c r="I92" s="691">
        <f t="shared" si="0"/>
        <v>0</v>
      </c>
      <c r="J92" s="692">
        <f t="shared" si="1"/>
        <v>0</v>
      </c>
      <c r="K92" s="692">
        <v>0</v>
      </c>
      <c r="L92" s="692">
        <f t="shared" si="2"/>
        <v>0</v>
      </c>
      <c r="M92" s="693">
        <v>4.7625000000000002</v>
      </c>
      <c r="N92" s="693">
        <v>0</v>
      </c>
      <c r="O92" s="691">
        <f t="shared" si="9"/>
        <v>0</v>
      </c>
      <c r="P92" s="688" t="s">
        <v>1183</v>
      </c>
      <c r="Q92" s="694">
        <v>5294</v>
      </c>
      <c r="R92" s="688" t="s">
        <v>750</v>
      </c>
      <c r="S92" s="688" t="e">
        <f>+#REF!</f>
        <v>#REF!</v>
      </c>
      <c r="T92" s="688" t="s">
        <v>1184</v>
      </c>
      <c r="U92" s="694">
        <v>5294</v>
      </c>
      <c r="V92" s="688" t="s">
        <v>750</v>
      </c>
      <c r="W92" s="695">
        <v>35688</v>
      </c>
      <c r="X92" s="696" t="s">
        <v>1168</v>
      </c>
      <c r="Y92" s="688" t="s">
        <v>1189</v>
      </c>
      <c r="Z92" s="688" t="s">
        <v>1190</v>
      </c>
      <c r="AA92" s="688" t="s">
        <v>891</v>
      </c>
      <c r="AB92" s="688" t="s">
        <v>891</v>
      </c>
      <c r="AC92" s="688"/>
      <c r="AD92" s="688"/>
      <c r="AE92" s="689">
        <v>3507171.47</v>
      </c>
      <c r="AF92" s="693">
        <v>15.32</v>
      </c>
      <c r="AG92" s="688" t="s">
        <v>891</v>
      </c>
      <c r="AH92" s="693">
        <v>15.32</v>
      </c>
      <c r="AI92" s="697" t="s">
        <v>1168</v>
      </c>
      <c r="AJ92" s="698" t="s">
        <v>1191</v>
      </c>
      <c r="AK92" s="699">
        <f>G92*600</f>
        <v>12966</v>
      </c>
      <c r="AL92" s="685" t="s">
        <v>160</v>
      </c>
      <c r="AM92" s="699">
        <v>2500</v>
      </c>
      <c r="AN92" s="699">
        <v>1000</v>
      </c>
    </row>
    <row r="93" spans="1:41" x14ac:dyDescent="0.3">
      <c r="A93" s="669" t="s">
        <v>1192</v>
      </c>
      <c r="B93" s="686">
        <f>+B92+1</f>
        <v>3</v>
      </c>
      <c r="C93" s="687">
        <f t="shared" si="8"/>
        <v>92</v>
      </c>
      <c r="D93" s="688">
        <v>100</v>
      </c>
      <c r="E93" s="688">
        <v>254</v>
      </c>
      <c r="F93" s="689"/>
      <c r="G93" s="689">
        <v>48.95</v>
      </c>
      <c r="H93" s="690">
        <v>0.96599999999999997</v>
      </c>
      <c r="I93" s="691">
        <f t="shared" si="0"/>
        <v>0</v>
      </c>
      <c r="J93" s="692">
        <f t="shared" si="1"/>
        <v>0</v>
      </c>
      <c r="K93" s="692">
        <v>0</v>
      </c>
      <c r="L93" s="692">
        <f t="shared" si="2"/>
        <v>0</v>
      </c>
      <c r="M93" s="693">
        <v>3.81</v>
      </c>
      <c r="N93" s="693">
        <v>0</v>
      </c>
      <c r="O93" s="691">
        <f t="shared" si="9"/>
        <v>0</v>
      </c>
      <c r="P93" s="688" t="s">
        <v>1193</v>
      </c>
      <c r="Q93" s="694">
        <v>5294</v>
      </c>
      <c r="R93" s="688" t="s">
        <v>750</v>
      </c>
      <c r="S93" s="688" t="e">
        <f>+#REF!</f>
        <v>#REF!</v>
      </c>
      <c r="T93" s="688" t="s">
        <v>1193</v>
      </c>
      <c r="U93" s="694">
        <v>5294</v>
      </c>
      <c r="V93" s="688" t="s">
        <v>750</v>
      </c>
      <c r="W93" s="695">
        <v>36138</v>
      </c>
      <c r="X93" s="696" t="s">
        <v>1194</v>
      </c>
      <c r="Y93" s="688" t="s">
        <v>1195</v>
      </c>
      <c r="Z93" s="688" t="s">
        <v>1196</v>
      </c>
      <c r="AA93" s="688" t="s">
        <v>891</v>
      </c>
      <c r="AB93" s="688" t="s">
        <v>891</v>
      </c>
      <c r="AC93" s="688"/>
      <c r="AD93" s="688"/>
      <c r="AE93" s="689">
        <v>7464928.2000000002</v>
      </c>
      <c r="AF93" s="693">
        <v>19.91</v>
      </c>
      <c r="AG93" s="688" t="s">
        <v>891</v>
      </c>
      <c r="AH93" s="693">
        <v>19.91</v>
      </c>
      <c r="AI93" s="697" t="s">
        <v>1194</v>
      </c>
      <c r="AJ93" s="698" t="s">
        <v>1197</v>
      </c>
      <c r="AK93" s="699">
        <f>G93*800</f>
        <v>39160</v>
      </c>
      <c r="AL93" s="685" t="s">
        <v>160</v>
      </c>
      <c r="AM93" s="699">
        <v>2500</v>
      </c>
      <c r="AN93" s="699">
        <v>1000</v>
      </c>
    </row>
    <row r="94" spans="1:41" x14ac:dyDescent="0.3">
      <c r="A94" s="669" t="s">
        <v>1198</v>
      </c>
      <c r="B94" s="686" t="e">
        <f>+#REF!+1</f>
        <v>#REF!</v>
      </c>
      <c r="C94" s="687">
        <f t="shared" si="8"/>
        <v>93</v>
      </c>
      <c r="D94" s="688">
        <v>100</v>
      </c>
      <c r="E94" s="688">
        <v>285</v>
      </c>
      <c r="F94" s="689"/>
      <c r="G94" s="689">
        <v>58.4</v>
      </c>
      <c r="H94" s="690">
        <v>1</v>
      </c>
      <c r="I94" s="691">
        <f t="shared" si="0"/>
        <v>0</v>
      </c>
      <c r="J94" s="692">
        <f t="shared" si="1"/>
        <v>0</v>
      </c>
      <c r="K94" s="692">
        <v>0</v>
      </c>
      <c r="L94" s="692">
        <f t="shared" si="2"/>
        <v>0</v>
      </c>
      <c r="M94" s="693">
        <v>3.81</v>
      </c>
      <c r="N94" s="693">
        <v>0</v>
      </c>
      <c r="O94" s="691">
        <f t="shared" si="9"/>
        <v>0</v>
      </c>
      <c r="P94" s="688" t="s">
        <v>1199</v>
      </c>
      <c r="Q94" s="694">
        <v>5000</v>
      </c>
      <c r="R94" s="688" t="s">
        <v>886</v>
      </c>
      <c r="S94" s="688" t="e">
        <f>+#REF!</f>
        <v>#REF!</v>
      </c>
      <c r="T94" s="688" t="s">
        <v>1199</v>
      </c>
      <c r="U94" s="694">
        <v>5000</v>
      </c>
      <c r="V94" s="688" t="s">
        <v>886</v>
      </c>
      <c r="W94" s="695">
        <v>34335</v>
      </c>
      <c r="X94" s="696" t="s">
        <v>1200</v>
      </c>
      <c r="Y94" s="688" t="s">
        <v>1201</v>
      </c>
      <c r="Z94" s="688" t="s">
        <v>1202</v>
      </c>
      <c r="AA94" s="688" t="s">
        <v>891</v>
      </c>
      <c r="AB94" s="688" t="s">
        <v>891</v>
      </c>
      <c r="AC94" s="688"/>
      <c r="AD94" s="688"/>
      <c r="AE94" s="689">
        <v>10344745.32</v>
      </c>
      <c r="AF94" s="693">
        <v>2.0592100000000002</v>
      </c>
      <c r="AG94" s="688" t="s">
        <v>891</v>
      </c>
      <c r="AH94" s="693">
        <v>2.0592100000000002</v>
      </c>
      <c r="AI94" s="697">
        <v>1978</v>
      </c>
      <c r="AJ94" s="698" t="s">
        <v>1203</v>
      </c>
      <c r="AK94" s="699">
        <f>G94*1000</f>
        <v>58400</v>
      </c>
      <c r="AL94" s="685" t="s">
        <v>159</v>
      </c>
      <c r="AM94" s="699">
        <v>2500</v>
      </c>
      <c r="AN94" s="699">
        <v>1000</v>
      </c>
    </row>
    <row r="95" spans="1:41" x14ac:dyDescent="0.3">
      <c r="A95" s="669" t="s">
        <v>1204</v>
      </c>
      <c r="B95" s="686" t="e">
        <f t="shared" ref="B95:B102" si="13">+B94+1</f>
        <v>#REF!</v>
      </c>
      <c r="C95" s="687">
        <f t="shared" si="8"/>
        <v>94</v>
      </c>
      <c r="D95" s="688">
        <v>100</v>
      </c>
      <c r="E95" s="688">
        <v>285</v>
      </c>
      <c r="F95" s="689"/>
      <c r="G95" s="689">
        <v>30.73</v>
      </c>
      <c r="H95" s="690">
        <v>1.0569999999999999</v>
      </c>
      <c r="I95" s="691">
        <f t="shared" si="0"/>
        <v>0</v>
      </c>
      <c r="J95" s="692">
        <f t="shared" si="1"/>
        <v>0</v>
      </c>
      <c r="K95" s="692">
        <v>0</v>
      </c>
      <c r="L95" s="692">
        <f t="shared" si="2"/>
        <v>0</v>
      </c>
      <c r="M95" s="693">
        <v>3.81</v>
      </c>
      <c r="N95" s="693">
        <v>0</v>
      </c>
      <c r="O95" s="691">
        <f t="shared" si="9"/>
        <v>0</v>
      </c>
      <c r="P95" s="688" t="s">
        <v>1199</v>
      </c>
      <c r="Q95" s="694">
        <v>5000</v>
      </c>
      <c r="R95" s="688" t="s">
        <v>886</v>
      </c>
      <c r="S95" s="688" t="e">
        <f>+#REF!</f>
        <v>#REF!</v>
      </c>
      <c r="T95" s="688" t="s">
        <v>1199</v>
      </c>
      <c r="U95" s="694">
        <v>5000</v>
      </c>
      <c r="V95" s="688" t="s">
        <v>886</v>
      </c>
      <c r="W95" s="695">
        <v>34335</v>
      </c>
      <c r="X95" s="696" t="s">
        <v>1200</v>
      </c>
      <c r="Y95" s="688" t="s">
        <v>1205</v>
      </c>
      <c r="Z95" s="688" t="s">
        <v>1206</v>
      </c>
      <c r="AA95" s="688" t="s">
        <v>891</v>
      </c>
      <c r="AB95" s="688" t="s">
        <v>891</v>
      </c>
      <c r="AC95" s="688"/>
      <c r="AD95" s="688"/>
      <c r="AE95" s="689">
        <v>5753664.0899999999</v>
      </c>
      <c r="AF95" s="693">
        <v>1.145316</v>
      </c>
      <c r="AG95" s="688" t="s">
        <v>891</v>
      </c>
      <c r="AH95" s="693">
        <v>1.145316</v>
      </c>
      <c r="AI95" s="697" t="s">
        <v>1200</v>
      </c>
      <c r="AJ95" s="698" t="s">
        <v>1207</v>
      </c>
      <c r="AK95" s="699">
        <f t="shared" ref="AK95:AK124" si="14">G95*1000</f>
        <v>30730</v>
      </c>
      <c r="AL95" s="685" t="s">
        <v>159</v>
      </c>
      <c r="AM95" s="699">
        <v>2500</v>
      </c>
      <c r="AN95" s="699">
        <v>1000</v>
      </c>
    </row>
    <row r="96" spans="1:41" x14ac:dyDescent="0.3">
      <c r="B96" s="686"/>
      <c r="C96" s="687">
        <v>95</v>
      </c>
      <c r="D96" s="688"/>
      <c r="E96" s="688"/>
      <c r="F96" s="689"/>
      <c r="G96" s="689">
        <v>74.48</v>
      </c>
      <c r="H96" s="690"/>
      <c r="I96" s="691"/>
      <c r="J96" s="692"/>
      <c r="K96" s="692"/>
      <c r="L96" s="692"/>
      <c r="M96" s="693"/>
      <c r="N96" s="693"/>
      <c r="O96" s="691"/>
      <c r="P96" s="688" t="s">
        <v>1208</v>
      </c>
      <c r="Q96" s="694"/>
      <c r="R96" s="688"/>
      <c r="S96" s="688" t="e">
        <f>+#REF!</f>
        <v>#REF!</v>
      </c>
      <c r="T96" s="688"/>
      <c r="U96" s="694"/>
      <c r="V96" s="688"/>
      <c r="W96" s="695"/>
      <c r="X96" s="696"/>
      <c r="Y96" s="688"/>
      <c r="Z96" s="688"/>
      <c r="AA96" s="688"/>
      <c r="AB96" s="688"/>
      <c r="AC96" s="688"/>
      <c r="AD96" s="688"/>
      <c r="AE96" s="689"/>
      <c r="AF96" s="693"/>
      <c r="AG96" s="688"/>
      <c r="AH96" s="693"/>
      <c r="AI96" s="697">
        <v>1978</v>
      </c>
      <c r="AJ96" s="698" t="s">
        <v>1209</v>
      </c>
      <c r="AK96" s="699">
        <f t="shared" si="14"/>
        <v>74480</v>
      </c>
      <c r="AL96" s="685" t="s">
        <v>159</v>
      </c>
      <c r="AM96" s="699">
        <v>2500</v>
      </c>
      <c r="AN96" s="699">
        <v>1000</v>
      </c>
    </row>
    <row r="97" spans="1:40" x14ac:dyDescent="0.3">
      <c r="A97" s="669" t="s">
        <v>1210</v>
      </c>
      <c r="B97" s="686" t="e">
        <f>+B95+1</f>
        <v>#REF!</v>
      </c>
      <c r="C97" s="687">
        <v>96</v>
      </c>
      <c r="D97" s="688">
        <v>100</v>
      </c>
      <c r="E97" s="688">
        <v>285</v>
      </c>
      <c r="F97" s="689"/>
      <c r="G97" s="689">
        <v>32.43</v>
      </c>
      <c r="H97" s="690">
        <v>1.0569999999999999</v>
      </c>
      <c r="I97" s="691">
        <f t="shared" si="0"/>
        <v>0</v>
      </c>
      <c r="J97" s="692">
        <f t="shared" si="1"/>
        <v>0</v>
      </c>
      <c r="K97" s="692">
        <v>0</v>
      </c>
      <c r="L97" s="692">
        <f t="shared" si="2"/>
        <v>0</v>
      </c>
      <c r="M97" s="693">
        <v>6.35</v>
      </c>
      <c r="N97" s="693">
        <v>0</v>
      </c>
      <c r="O97" s="691">
        <f t="shared" si="9"/>
        <v>0</v>
      </c>
      <c r="P97" s="688" t="s">
        <v>1211</v>
      </c>
      <c r="Q97" s="694">
        <v>5000</v>
      </c>
      <c r="R97" s="688" t="s">
        <v>886</v>
      </c>
      <c r="S97" s="688" t="e">
        <f>+#REF!</f>
        <v>#REF!</v>
      </c>
      <c r="T97" s="688" t="s">
        <v>1211</v>
      </c>
      <c r="U97" s="694">
        <v>5000</v>
      </c>
      <c r="V97" s="688" t="s">
        <v>886</v>
      </c>
      <c r="W97" s="695">
        <v>34731</v>
      </c>
      <c r="X97" s="696" t="s">
        <v>1212</v>
      </c>
      <c r="Y97" s="688" t="s">
        <v>1213</v>
      </c>
      <c r="Z97" s="688" t="s">
        <v>1214</v>
      </c>
      <c r="AA97" s="688" t="s">
        <v>891</v>
      </c>
      <c r="AB97" s="688" t="s">
        <v>891</v>
      </c>
      <c r="AC97" s="688"/>
      <c r="AD97" s="688"/>
      <c r="AE97" s="689">
        <v>6071959.8600000003</v>
      </c>
      <c r="AF97" s="693">
        <v>1.0186120000000001</v>
      </c>
      <c r="AG97" s="688" t="s">
        <v>891</v>
      </c>
      <c r="AH97" s="693">
        <v>1.0186120000000001</v>
      </c>
      <c r="AI97" s="697" t="s">
        <v>1212</v>
      </c>
      <c r="AJ97" s="698" t="s">
        <v>1215</v>
      </c>
      <c r="AK97" s="699">
        <f t="shared" si="14"/>
        <v>32430</v>
      </c>
      <c r="AL97" s="685" t="s">
        <v>159</v>
      </c>
      <c r="AM97" s="699">
        <v>2500</v>
      </c>
      <c r="AN97" s="699">
        <v>1000</v>
      </c>
    </row>
    <row r="98" spans="1:40" x14ac:dyDescent="0.3">
      <c r="A98" s="669" t="s">
        <v>1216</v>
      </c>
      <c r="B98" s="686" t="e">
        <f t="shared" si="13"/>
        <v>#REF!</v>
      </c>
      <c r="C98" s="687">
        <f t="shared" si="8"/>
        <v>97</v>
      </c>
      <c r="D98" s="688">
        <v>100</v>
      </c>
      <c r="E98" s="688">
        <v>285</v>
      </c>
      <c r="F98" s="689"/>
      <c r="G98" s="689">
        <v>84.33</v>
      </c>
      <c r="H98" s="690">
        <v>0.95</v>
      </c>
      <c r="I98" s="691">
        <f t="shared" si="0"/>
        <v>0</v>
      </c>
      <c r="J98" s="692">
        <f t="shared" si="1"/>
        <v>0</v>
      </c>
      <c r="K98" s="692">
        <v>0</v>
      </c>
      <c r="L98" s="692">
        <f t="shared" si="2"/>
        <v>0</v>
      </c>
      <c r="M98" s="693">
        <v>1.3943700000000001</v>
      </c>
      <c r="N98" s="693">
        <v>1.21916</v>
      </c>
      <c r="O98" s="691">
        <f t="shared" si="9"/>
        <v>0</v>
      </c>
      <c r="P98" s="688" t="s">
        <v>1217</v>
      </c>
      <c r="Q98" s="694">
        <v>5000</v>
      </c>
      <c r="R98" s="688" t="s">
        <v>886</v>
      </c>
      <c r="S98" s="688" t="e">
        <f>+#REF!</f>
        <v>#REF!</v>
      </c>
      <c r="T98" s="688" t="s">
        <v>1217</v>
      </c>
      <c r="U98" s="694">
        <v>5000</v>
      </c>
      <c r="V98" s="688" t="s">
        <v>886</v>
      </c>
      <c r="W98" s="695">
        <v>36647</v>
      </c>
      <c r="X98" s="696" t="s">
        <v>1212</v>
      </c>
      <c r="Y98" s="688" t="s">
        <v>1218</v>
      </c>
      <c r="Z98" s="688" t="s">
        <v>1219</v>
      </c>
      <c r="AA98" s="688" t="s">
        <v>891</v>
      </c>
      <c r="AB98" s="688" t="s">
        <v>891</v>
      </c>
      <c r="AC98" s="688"/>
      <c r="AD98" s="688"/>
      <c r="AE98" s="689">
        <v>14190988.939999999</v>
      </c>
      <c r="AF98" s="693">
        <v>3.01</v>
      </c>
      <c r="AG98" s="688" t="s">
        <v>891</v>
      </c>
      <c r="AH98" s="693">
        <v>3.01</v>
      </c>
      <c r="AI98" s="697" t="s">
        <v>1212</v>
      </c>
      <c r="AJ98" s="698" t="s">
        <v>1220</v>
      </c>
      <c r="AK98" s="699">
        <f t="shared" si="14"/>
        <v>84330</v>
      </c>
      <c r="AL98" s="685" t="s">
        <v>159</v>
      </c>
      <c r="AM98" s="699">
        <v>2500</v>
      </c>
      <c r="AN98" s="699">
        <v>1000</v>
      </c>
    </row>
    <row r="99" spans="1:40" x14ac:dyDescent="0.3">
      <c r="A99" s="669" t="s">
        <v>1221</v>
      </c>
      <c r="B99" s="686" t="e">
        <f t="shared" si="13"/>
        <v>#REF!</v>
      </c>
      <c r="C99" s="687">
        <f t="shared" si="8"/>
        <v>98</v>
      </c>
      <c r="D99" s="688">
        <v>100</v>
      </c>
      <c r="E99" s="688">
        <v>277</v>
      </c>
      <c r="F99" s="689"/>
      <c r="G99" s="689">
        <v>60.45</v>
      </c>
      <c r="H99" s="690">
        <v>1</v>
      </c>
      <c r="I99" s="691">
        <f t="shared" si="0"/>
        <v>0</v>
      </c>
      <c r="J99" s="692">
        <f t="shared" si="1"/>
        <v>0</v>
      </c>
      <c r="K99" s="692">
        <v>0</v>
      </c>
      <c r="L99" s="692">
        <f t="shared" si="2"/>
        <v>0</v>
      </c>
      <c r="M99" s="693">
        <v>1.3943700000000001</v>
      </c>
      <c r="N99" s="693">
        <v>1.21916</v>
      </c>
      <c r="O99" s="691">
        <f t="shared" si="9"/>
        <v>0</v>
      </c>
      <c r="P99" s="688" t="s">
        <v>1222</v>
      </c>
      <c r="Q99" s="694">
        <v>5000</v>
      </c>
      <c r="R99" s="688" t="s">
        <v>886</v>
      </c>
      <c r="S99" s="688" t="e">
        <f>+#REF!</f>
        <v>#REF!</v>
      </c>
      <c r="T99" s="688" t="s">
        <v>1222</v>
      </c>
      <c r="U99" s="694">
        <v>5000</v>
      </c>
      <c r="V99" s="688" t="s">
        <v>886</v>
      </c>
      <c r="W99" s="695">
        <v>34335</v>
      </c>
      <c r="X99" s="696" t="s">
        <v>1212</v>
      </c>
      <c r="Y99" s="688" t="s">
        <v>1223</v>
      </c>
      <c r="Z99" s="688" t="s">
        <v>1224</v>
      </c>
      <c r="AA99" s="688" t="s">
        <v>891</v>
      </c>
      <c r="AB99" s="688" t="s">
        <v>891</v>
      </c>
      <c r="AC99" s="688"/>
      <c r="AD99" s="688"/>
      <c r="AE99" s="689">
        <v>10407302.310000001</v>
      </c>
      <c r="AF99" s="693">
        <v>2.3395269999999999</v>
      </c>
      <c r="AG99" s="688" t="s">
        <v>891</v>
      </c>
      <c r="AH99" s="693">
        <v>2.3395269999999999</v>
      </c>
      <c r="AI99" s="697" t="s">
        <v>1212</v>
      </c>
      <c r="AJ99" s="698" t="s">
        <v>1225</v>
      </c>
      <c r="AK99" s="699">
        <f t="shared" si="14"/>
        <v>60450</v>
      </c>
      <c r="AL99" s="685" t="s">
        <v>159</v>
      </c>
      <c r="AM99" s="699">
        <v>2500</v>
      </c>
      <c r="AN99" s="699">
        <v>1000</v>
      </c>
    </row>
    <row r="100" spans="1:40" x14ac:dyDescent="0.3">
      <c r="A100" s="669" t="s">
        <v>1226</v>
      </c>
      <c r="B100" s="686" t="e">
        <f t="shared" si="13"/>
        <v>#REF!</v>
      </c>
      <c r="C100" s="687">
        <f t="shared" si="8"/>
        <v>99</v>
      </c>
      <c r="D100" s="688">
        <v>100</v>
      </c>
      <c r="E100" s="688">
        <v>285</v>
      </c>
      <c r="F100" s="689"/>
      <c r="G100" s="689">
        <v>67.69</v>
      </c>
      <c r="H100" s="690">
        <v>0.96599999999999997</v>
      </c>
      <c r="I100" s="691">
        <f t="shared" si="0"/>
        <v>0</v>
      </c>
      <c r="J100" s="692">
        <f t="shared" si="1"/>
        <v>0</v>
      </c>
      <c r="K100" s="692">
        <v>0</v>
      </c>
      <c r="L100" s="692">
        <f t="shared" si="2"/>
        <v>0</v>
      </c>
      <c r="M100" s="693">
        <v>3.81</v>
      </c>
      <c r="N100" s="693">
        <v>0</v>
      </c>
      <c r="O100" s="691">
        <f t="shared" si="9"/>
        <v>0</v>
      </c>
      <c r="P100" s="688" t="s">
        <v>1227</v>
      </c>
      <c r="Q100" s="694">
        <v>5000</v>
      </c>
      <c r="R100" s="688" t="s">
        <v>886</v>
      </c>
      <c r="S100" s="688" t="e">
        <f>+#REF!</f>
        <v>#REF!</v>
      </c>
      <c r="T100" s="688" t="s">
        <v>1227</v>
      </c>
      <c r="U100" s="694">
        <v>5000</v>
      </c>
      <c r="V100" s="688" t="s">
        <v>886</v>
      </c>
      <c r="W100" s="695">
        <v>34772</v>
      </c>
      <c r="X100" s="696" t="s">
        <v>1212</v>
      </c>
      <c r="Y100" s="688" t="s">
        <v>1228</v>
      </c>
      <c r="Z100" s="688" t="s">
        <v>1229</v>
      </c>
      <c r="AA100" s="688" t="s">
        <v>891</v>
      </c>
      <c r="AB100" s="688" t="s">
        <v>891</v>
      </c>
      <c r="AC100" s="688"/>
      <c r="AD100" s="688"/>
      <c r="AE100" s="689">
        <v>11582667.689999999</v>
      </c>
      <c r="AF100" s="693">
        <v>2.3299379999999998</v>
      </c>
      <c r="AG100" s="688" t="s">
        <v>891</v>
      </c>
      <c r="AH100" s="693">
        <v>2.3299379999999998</v>
      </c>
      <c r="AI100" s="697" t="s">
        <v>1212</v>
      </c>
      <c r="AJ100" s="698" t="s">
        <v>1230</v>
      </c>
      <c r="AK100" s="699">
        <f t="shared" si="14"/>
        <v>67690</v>
      </c>
      <c r="AL100" s="685" t="s">
        <v>159</v>
      </c>
      <c r="AM100" s="699">
        <v>2500</v>
      </c>
      <c r="AN100" s="699">
        <v>1000</v>
      </c>
    </row>
    <row r="101" spans="1:40" x14ac:dyDescent="0.3">
      <c r="A101" s="669" t="s">
        <v>1231</v>
      </c>
      <c r="B101" s="686" t="e">
        <f t="shared" si="13"/>
        <v>#REF!</v>
      </c>
      <c r="C101" s="687">
        <f t="shared" si="8"/>
        <v>100</v>
      </c>
      <c r="D101" s="688">
        <v>100</v>
      </c>
      <c r="E101" s="688">
        <v>285</v>
      </c>
      <c r="F101" s="689"/>
      <c r="G101" s="689">
        <v>58.57</v>
      </c>
      <c r="H101" s="690">
        <v>1</v>
      </c>
      <c r="I101" s="691">
        <f t="shared" si="0"/>
        <v>0</v>
      </c>
      <c r="J101" s="692">
        <f t="shared" si="1"/>
        <v>0</v>
      </c>
      <c r="K101" s="692">
        <v>0</v>
      </c>
      <c r="L101" s="692">
        <f t="shared" si="2"/>
        <v>0</v>
      </c>
      <c r="M101" s="693">
        <v>5.08</v>
      </c>
      <c r="N101" s="693">
        <v>0</v>
      </c>
      <c r="O101" s="691">
        <f t="shared" si="9"/>
        <v>0</v>
      </c>
      <c r="P101" s="688" t="s">
        <v>1227</v>
      </c>
      <c r="Q101" s="694">
        <v>5000</v>
      </c>
      <c r="R101" s="688" t="s">
        <v>886</v>
      </c>
      <c r="S101" s="688" t="e">
        <f>+#REF!</f>
        <v>#REF!</v>
      </c>
      <c r="T101" s="688" t="s">
        <v>1227</v>
      </c>
      <c r="U101" s="694">
        <v>5000</v>
      </c>
      <c r="V101" s="688" t="s">
        <v>886</v>
      </c>
      <c r="W101" s="695">
        <v>37895</v>
      </c>
      <c r="X101" s="696" t="s">
        <v>1212</v>
      </c>
      <c r="Y101" s="688" t="s">
        <v>1232</v>
      </c>
      <c r="Z101" s="688" t="s">
        <v>1233</v>
      </c>
      <c r="AA101" s="688" t="s">
        <v>891</v>
      </c>
      <c r="AB101" s="688" t="s">
        <v>891</v>
      </c>
      <c r="AC101" s="688"/>
      <c r="AD101" s="688"/>
      <c r="AE101" s="689">
        <v>10374858.449999999</v>
      </c>
      <c r="AF101" s="693">
        <v>2.0869780000000002</v>
      </c>
      <c r="AG101" s="688" t="s">
        <v>891</v>
      </c>
      <c r="AH101" s="693">
        <v>2.0869780000000002</v>
      </c>
      <c r="AI101" s="697" t="s">
        <v>1212</v>
      </c>
      <c r="AJ101" s="698" t="s">
        <v>1234</v>
      </c>
      <c r="AK101" s="699">
        <f t="shared" si="14"/>
        <v>58570</v>
      </c>
      <c r="AL101" s="685" t="s">
        <v>159</v>
      </c>
      <c r="AM101" s="699">
        <v>2500</v>
      </c>
      <c r="AN101" s="699">
        <v>1000</v>
      </c>
    </row>
    <row r="102" spans="1:40" x14ac:dyDescent="0.3">
      <c r="A102" s="669" t="s">
        <v>1235</v>
      </c>
      <c r="B102" s="686" t="e">
        <f t="shared" si="13"/>
        <v>#REF!</v>
      </c>
      <c r="C102" s="687">
        <f t="shared" si="8"/>
        <v>101</v>
      </c>
      <c r="D102" s="688">
        <v>100</v>
      </c>
      <c r="E102" s="688">
        <v>299</v>
      </c>
      <c r="F102" s="689"/>
      <c r="G102" s="689">
        <v>66.88</v>
      </c>
      <c r="H102" s="690">
        <v>0.96599999999999997</v>
      </c>
      <c r="I102" s="691">
        <f t="shared" si="0"/>
        <v>0</v>
      </c>
      <c r="J102" s="692">
        <f t="shared" si="1"/>
        <v>0</v>
      </c>
      <c r="K102" s="692">
        <v>0</v>
      </c>
      <c r="L102" s="692">
        <f t="shared" si="2"/>
        <v>0</v>
      </c>
      <c r="M102" s="693">
        <v>3.81</v>
      </c>
      <c r="N102" s="693">
        <v>0</v>
      </c>
      <c r="O102" s="691">
        <f t="shared" si="9"/>
        <v>0</v>
      </c>
      <c r="P102" s="688" t="s">
        <v>1236</v>
      </c>
      <c r="Q102" s="694">
        <v>5000</v>
      </c>
      <c r="R102" s="688" t="s">
        <v>886</v>
      </c>
      <c r="S102" s="688" t="e">
        <f>+#REF!</f>
        <v>#REF!</v>
      </c>
      <c r="T102" s="688" t="s">
        <v>1236</v>
      </c>
      <c r="U102" s="694">
        <v>5000</v>
      </c>
      <c r="V102" s="688" t="s">
        <v>886</v>
      </c>
      <c r="W102" s="695">
        <v>34335</v>
      </c>
      <c r="X102" s="696" t="s">
        <v>1212</v>
      </c>
      <c r="Y102" s="688" t="s">
        <v>1237</v>
      </c>
      <c r="Z102" s="688" t="s">
        <v>1238</v>
      </c>
      <c r="AA102" s="688" t="s">
        <v>891</v>
      </c>
      <c r="AB102" s="688" t="s">
        <v>891</v>
      </c>
      <c r="AC102" s="688"/>
      <c r="AD102" s="688"/>
      <c r="AE102" s="689">
        <v>12006230.449999999</v>
      </c>
      <c r="AF102" s="693">
        <v>2.3120579999999999</v>
      </c>
      <c r="AG102" s="688" t="s">
        <v>891</v>
      </c>
      <c r="AH102" s="693">
        <v>2.3120579999999999</v>
      </c>
      <c r="AI102" s="697" t="s">
        <v>1212</v>
      </c>
      <c r="AJ102" s="698" t="s">
        <v>1239</v>
      </c>
      <c r="AK102" s="699">
        <f t="shared" si="14"/>
        <v>66880</v>
      </c>
      <c r="AL102" s="685" t="s">
        <v>159</v>
      </c>
      <c r="AM102" s="699">
        <v>2500</v>
      </c>
      <c r="AN102" s="699">
        <v>1000</v>
      </c>
    </row>
    <row r="103" spans="1:40" x14ac:dyDescent="0.3">
      <c r="A103" s="669" t="s">
        <v>1240</v>
      </c>
      <c r="B103" s="686" t="e">
        <f>+B101+1</f>
        <v>#REF!</v>
      </c>
      <c r="C103" s="687">
        <f t="shared" si="8"/>
        <v>102</v>
      </c>
      <c r="D103" s="688">
        <v>100</v>
      </c>
      <c r="E103" s="688">
        <v>299</v>
      </c>
      <c r="F103" s="689"/>
      <c r="G103" s="689">
        <v>67.63</v>
      </c>
      <c r="H103" s="690">
        <v>0.96599999999999997</v>
      </c>
      <c r="I103" s="691">
        <f t="shared" si="0"/>
        <v>0</v>
      </c>
      <c r="J103" s="692">
        <f t="shared" si="1"/>
        <v>0</v>
      </c>
      <c r="K103" s="692">
        <v>0</v>
      </c>
      <c r="L103" s="692">
        <f t="shared" si="2"/>
        <v>0</v>
      </c>
      <c r="M103" s="693">
        <v>3.81</v>
      </c>
      <c r="N103" s="693">
        <v>0</v>
      </c>
      <c r="O103" s="691">
        <f t="shared" si="9"/>
        <v>0</v>
      </c>
      <c r="P103" s="688" t="s">
        <v>1236</v>
      </c>
      <c r="Q103" s="694">
        <v>5000</v>
      </c>
      <c r="R103" s="688" t="s">
        <v>886</v>
      </c>
      <c r="S103" s="688" t="e">
        <f>+#REF!</f>
        <v>#REF!</v>
      </c>
      <c r="T103" s="688" t="s">
        <v>1241</v>
      </c>
      <c r="U103" s="694">
        <v>5000</v>
      </c>
      <c r="V103" s="688" t="s">
        <v>886</v>
      </c>
      <c r="W103" s="695">
        <v>34335</v>
      </c>
      <c r="X103" s="696" t="s">
        <v>1212</v>
      </c>
      <c r="Y103" s="688" t="s">
        <v>1242</v>
      </c>
      <c r="Z103" s="688" t="s">
        <v>1243</v>
      </c>
      <c r="AA103" s="688" t="s">
        <v>891</v>
      </c>
      <c r="AB103" s="688" t="s">
        <v>891</v>
      </c>
      <c r="AC103" s="688"/>
      <c r="AD103" s="688"/>
      <c r="AE103" s="689">
        <v>12140869.699999999</v>
      </c>
      <c r="AF103" s="693">
        <v>2.3379859999999999</v>
      </c>
      <c r="AG103" s="688" t="s">
        <v>891</v>
      </c>
      <c r="AH103" s="693">
        <v>2.3379859999999999</v>
      </c>
      <c r="AI103" s="697" t="s">
        <v>1212</v>
      </c>
      <c r="AJ103" s="698" t="s">
        <v>1244</v>
      </c>
      <c r="AK103" s="699">
        <f t="shared" si="14"/>
        <v>67630</v>
      </c>
      <c r="AL103" s="685" t="s">
        <v>159</v>
      </c>
      <c r="AM103" s="699">
        <v>2500</v>
      </c>
      <c r="AN103" s="699">
        <v>1000</v>
      </c>
    </row>
    <row r="104" spans="1:40" x14ac:dyDescent="0.3">
      <c r="A104" s="669" t="s">
        <v>1245</v>
      </c>
      <c r="B104" s="686" t="e">
        <f t="shared" ref="B104:C121" si="15">+B103+1</f>
        <v>#REF!</v>
      </c>
      <c r="C104" s="687">
        <f t="shared" si="8"/>
        <v>103</v>
      </c>
      <c r="D104" s="688">
        <v>100</v>
      </c>
      <c r="E104" s="688">
        <v>299</v>
      </c>
      <c r="F104" s="689"/>
      <c r="G104" s="689">
        <v>35.49</v>
      </c>
      <c r="H104" s="690">
        <v>1.0569999999999999</v>
      </c>
      <c r="I104" s="691">
        <f t="shared" si="0"/>
        <v>0</v>
      </c>
      <c r="J104" s="692">
        <f t="shared" si="1"/>
        <v>0</v>
      </c>
      <c r="K104" s="692">
        <v>0</v>
      </c>
      <c r="L104" s="692">
        <f t="shared" si="2"/>
        <v>0</v>
      </c>
      <c r="M104" s="693">
        <v>3.81</v>
      </c>
      <c r="N104" s="693">
        <v>0</v>
      </c>
      <c r="O104" s="691">
        <f t="shared" si="9"/>
        <v>0</v>
      </c>
      <c r="P104" s="688" t="s">
        <v>1236</v>
      </c>
      <c r="Q104" s="694">
        <v>5000</v>
      </c>
      <c r="R104" s="688" t="s">
        <v>886</v>
      </c>
      <c r="S104" s="688" t="e">
        <f>+#REF!</f>
        <v>#REF!</v>
      </c>
      <c r="T104" s="688" t="s">
        <v>1236</v>
      </c>
      <c r="U104" s="694">
        <v>5000</v>
      </c>
      <c r="V104" s="688" t="s">
        <v>886</v>
      </c>
      <c r="W104" s="695">
        <v>34335</v>
      </c>
      <c r="X104" s="696" t="s">
        <v>1212</v>
      </c>
      <c r="Y104" s="688" t="s">
        <v>1246</v>
      </c>
      <c r="Z104" s="688" t="s">
        <v>1247</v>
      </c>
      <c r="AA104" s="688" t="s">
        <v>891</v>
      </c>
      <c r="AB104" s="688" t="s">
        <v>891</v>
      </c>
      <c r="AC104" s="688"/>
      <c r="AD104" s="688"/>
      <c r="AE104" s="689">
        <v>6971308</v>
      </c>
      <c r="AF104" s="693">
        <v>1.3424750000000001</v>
      </c>
      <c r="AG104" s="688" t="s">
        <v>891</v>
      </c>
      <c r="AH104" s="693">
        <v>1.3424750000000001</v>
      </c>
      <c r="AI104" s="697" t="s">
        <v>1212</v>
      </c>
      <c r="AJ104" s="698" t="s">
        <v>1248</v>
      </c>
      <c r="AK104" s="699">
        <f t="shared" si="14"/>
        <v>35490</v>
      </c>
      <c r="AL104" s="685" t="s">
        <v>159</v>
      </c>
      <c r="AM104" s="699">
        <v>2500</v>
      </c>
      <c r="AN104" s="699">
        <v>1000</v>
      </c>
    </row>
    <row r="105" spans="1:40" x14ac:dyDescent="0.3">
      <c r="A105" s="669" t="s">
        <v>1249</v>
      </c>
      <c r="B105" s="686" t="e">
        <f t="shared" si="15"/>
        <v>#REF!</v>
      </c>
      <c r="C105" s="687">
        <f t="shared" si="8"/>
        <v>104</v>
      </c>
      <c r="D105" s="688">
        <v>100</v>
      </c>
      <c r="E105" s="688">
        <v>299</v>
      </c>
      <c r="F105" s="689"/>
      <c r="G105" s="689">
        <v>35.94</v>
      </c>
      <c r="H105" s="690">
        <v>1.0569999999999999</v>
      </c>
      <c r="I105" s="691">
        <f t="shared" si="0"/>
        <v>0</v>
      </c>
      <c r="J105" s="692">
        <f t="shared" si="1"/>
        <v>0</v>
      </c>
      <c r="K105" s="692">
        <v>0</v>
      </c>
      <c r="L105" s="692">
        <f t="shared" si="2"/>
        <v>0</v>
      </c>
      <c r="M105" s="693">
        <v>3.81</v>
      </c>
      <c r="N105" s="693">
        <v>0</v>
      </c>
      <c r="O105" s="691">
        <f t="shared" si="9"/>
        <v>0</v>
      </c>
      <c r="P105" s="688" t="s">
        <v>1236</v>
      </c>
      <c r="Q105" s="694">
        <v>5000</v>
      </c>
      <c r="R105" s="688" t="s">
        <v>886</v>
      </c>
      <c r="S105" s="688" t="e">
        <f>+#REF!</f>
        <v>#REF!</v>
      </c>
      <c r="T105" s="688" t="s">
        <v>1236</v>
      </c>
      <c r="U105" s="694">
        <v>5000</v>
      </c>
      <c r="V105" s="688" t="s">
        <v>886</v>
      </c>
      <c r="W105" s="695">
        <v>34408</v>
      </c>
      <c r="X105" s="696" t="s">
        <v>1212</v>
      </c>
      <c r="Y105" s="688" t="s">
        <v>1250</v>
      </c>
      <c r="Z105" s="688" t="s">
        <v>1251</v>
      </c>
      <c r="AA105" s="688" t="s">
        <v>891</v>
      </c>
      <c r="AB105" s="688" t="s">
        <v>891</v>
      </c>
      <c r="AC105" s="688"/>
      <c r="AD105" s="688"/>
      <c r="AE105" s="689">
        <v>7059701.5999999996</v>
      </c>
      <c r="AF105" s="693">
        <v>1.3594980000000001</v>
      </c>
      <c r="AG105" s="688" t="s">
        <v>891</v>
      </c>
      <c r="AH105" s="693">
        <v>1.3594980000000001</v>
      </c>
      <c r="AI105" s="697" t="s">
        <v>1212</v>
      </c>
      <c r="AJ105" s="698" t="s">
        <v>1252</v>
      </c>
      <c r="AK105" s="699">
        <f t="shared" si="14"/>
        <v>35940</v>
      </c>
      <c r="AL105" s="685" t="s">
        <v>159</v>
      </c>
      <c r="AM105" s="699">
        <v>2500</v>
      </c>
      <c r="AN105" s="699">
        <v>1000</v>
      </c>
    </row>
    <row r="106" spans="1:40" x14ac:dyDescent="0.3">
      <c r="A106" s="669" t="s">
        <v>1253</v>
      </c>
      <c r="B106" s="686" t="e">
        <f t="shared" si="15"/>
        <v>#REF!</v>
      </c>
      <c r="C106" s="687">
        <f t="shared" si="8"/>
        <v>105</v>
      </c>
      <c r="D106" s="688">
        <v>100</v>
      </c>
      <c r="E106" s="688">
        <v>299</v>
      </c>
      <c r="F106" s="689"/>
      <c r="G106" s="689">
        <v>67.63</v>
      </c>
      <c r="H106" s="690">
        <v>0.96599999999999997</v>
      </c>
      <c r="I106" s="691">
        <f t="shared" si="0"/>
        <v>0</v>
      </c>
      <c r="J106" s="692">
        <f t="shared" si="1"/>
        <v>0</v>
      </c>
      <c r="K106" s="692">
        <v>0</v>
      </c>
      <c r="L106" s="692">
        <f t="shared" si="2"/>
        <v>0</v>
      </c>
      <c r="M106" s="693">
        <v>5.08</v>
      </c>
      <c r="N106" s="693"/>
      <c r="O106" s="691">
        <f t="shared" si="9"/>
        <v>0</v>
      </c>
      <c r="P106" s="688" t="s">
        <v>1254</v>
      </c>
      <c r="Q106" s="694">
        <v>5000</v>
      </c>
      <c r="R106" s="688" t="s">
        <v>886</v>
      </c>
      <c r="S106" s="688" t="e">
        <f>+#REF!</f>
        <v>#REF!</v>
      </c>
      <c r="T106" s="688" t="s">
        <v>1254</v>
      </c>
      <c r="U106" s="694">
        <v>5000</v>
      </c>
      <c r="V106" s="688" t="s">
        <v>886</v>
      </c>
      <c r="W106" s="695">
        <v>35977</v>
      </c>
      <c r="X106" s="696" t="s">
        <v>1212</v>
      </c>
      <c r="Y106" s="688" t="s">
        <v>1255</v>
      </c>
      <c r="Z106" s="688" t="s">
        <v>1256</v>
      </c>
      <c r="AA106" s="688" t="s">
        <v>891</v>
      </c>
      <c r="AB106" s="688" t="s">
        <v>891</v>
      </c>
      <c r="AC106" s="688"/>
      <c r="AD106" s="688"/>
      <c r="AE106" s="689">
        <v>12140869.699999999</v>
      </c>
      <c r="AF106" s="693">
        <v>2.100441</v>
      </c>
      <c r="AG106" s="688" t="s">
        <v>891</v>
      </c>
      <c r="AH106" s="693">
        <v>2.100441</v>
      </c>
      <c r="AI106" s="697" t="s">
        <v>1212</v>
      </c>
      <c r="AJ106" s="698" t="s">
        <v>1257</v>
      </c>
      <c r="AK106" s="699">
        <f t="shared" si="14"/>
        <v>67630</v>
      </c>
      <c r="AL106" s="685" t="s">
        <v>159</v>
      </c>
      <c r="AM106" s="699">
        <v>2500</v>
      </c>
      <c r="AN106" s="699">
        <v>1000</v>
      </c>
    </row>
    <row r="107" spans="1:40" x14ac:dyDescent="0.3">
      <c r="A107" s="669" t="s">
        <v>1258</v>
      </c>
      <c r="B107" s="686" t="e">
        <f t="shared" si="15"/>
        <v>#REF!</v>
      </c>
      <c r="C107" s="687">
        <f t="shared" si="8"/>
        <v>106</v>
      </c>
      <c r="D107" s="688">
        <v>100</v>
      </c>
      <c r="E107" s="688">
        <v>299</v>
      </c>
      <c r="F107" s="689"/>
      <c r="G107" s="689">
        <v>58.63</v>
      </c>
      <c r="H107" s="690">
        <v>1</v>
      </c>
      <c r="I107" s="691">
        <f t="shared" si="0"/>
        <v>0</v>
      </c>
      <c r="J107" s="692">
        <f t="shared" si="1"/>
        <v>0</v>
      </c>
      <c r="K107" s="692">
        <v>0</v>
      </c>
      <c r="L107" s="692">
        <f t="shared" si="2"/>
        <v>0</v>
      </c>
      <c r="M107" s="693">
        <v>3.81</v>
      </c>
      <c r="N107" s="693"/>
      <c r="O107" s="691">
        <f t="shared" si="9"/>
        <v>0</v>
      </c>
      <c r="P107" s="688" t="s">
        <v>1254</v>
      </c>
      <c r="Q107" s="694">
        <v>5000</v>
      </c>
      <c r="R107" s="688" t="s">
        <v>886</v>
      </c>
      <c r="S107" s="688" t="e">
        <f>+#REF!</f>
        <v>#REF!</v>
      </c>
      <c r="T107" s="688" t="s">
        <v>1254</v>
      </c>
      <c r="U107" s="694">
        <v>5000</v>
      </c>
      <c r="V107" s="688" t="s">
        <v>886</v>
      </c>
      <c r="W107" s="695">
        <v>34335</v>
      </c>
      <c r="X107" s="696" t="s">
        <v>1212</v>
      </c>
      <c r="Y107" s="688" t="s">
        <v>1259</v>
      </c>
      <c r="Z107" s="688" t="s">
        <v>1260</v>
      </c>
      <c r="AA107" s="688" t="s">
        <v>891</v>
      </c>
      <c r="AB107" s="688" t="s">
        <v>891</v>
      </c>
      <c r="AC107" s="688"/>
      <c r="AD107" s="688"/>
      <c r="AE107" s="689">
        <v>10895650.869999999</v>
      </c>
      <c r="AF107" s="693">
        <v>1.885011</v>
      </c>
      <c r="AG107" s="688" t="s">
        <v>891</v>
      </c>
      <c r="AH107" s="693">
        <v>1.885011</v>
      </c>
      <c r="AI107" s="697" t="s">
        <v>1212</v>
      </c>
      <c r="AJ107" s="698" t="s">
        <v>1261</v>
      </c>
      <c r="AK107" s="699">
        <f t="shared" si="14"/>
        <v>58630</v>
      </c>
      <c r="AL107" s="685" t="s">
        <v>159</v>
      </c>
      <c r="AM107" s="699">
        <v>2500</v>
      </c>
      <c r="AN107" s="699">
        <v>1000</v>
      </c>
    </row>
    <row r="108" spans="1:40" x14ac:dyDescent="0.3">
      <c r="A108" s="669" t="s">
        <v>1262</v>
      </c>
      <c r="B108" s="686" t="e">
        <f t="shared" si="15"/>
        <v>#REF!</v>
      </c>
      <c r="C108" s="687">
        <f t="shared" si="8"/>
        <v>107</v>
      </c>
      <c r="D108" s="688">
        <v>100</v>
      </c>
      <c r="E108" s="688">
        <v>299</v>
      </c>
      <c r="F108" s="689"/>
      <c r="G108" s="689">
        <v>62.46</v>
      </c>
      <c r="H108" s="690">
        <v>1</v>
      </c>
      <c r="I108" s="691">
        <f t="shared" ref="I108:I178" si="16">+G108*E108*H108*D108*F108/100</f>
        <v>0</v>
      </c>
      <c r="J108" s="692">
        <f t="shared" ref="J108:J178" si="17">ROUND(+I108*M108/(12*100),0)</f>
        <v>0</v>
      </c>
      <c r="K108" s="692">
        <v>0</v>
      </c>
      <c r="L108" s="692">
        <f t="shared" ref="L108:L178" si="18">+J108-K108</f>
        <v>0</v>
      </c>
      <c r="M108" s="693">
        <v>5.08</v>
      </c>
      <c r="N108" s="693"/>
      <c r="O108" s="691">
        <f t="shared" si="9"/>
        <v>0</v>
      </c>
      <c r="P108" s="688" t="s">
        <v>1263</v>
      </c>
      <c r="Q108" s="694">
        <v>5000</v>
      </c>
      <c r="R108" s="688" t="s">
        <v>886</v>
      </c>
      <c r="S108" s="688" t="e">
        <f>+#REF!</f>
        <v>#REF!</v>
      </c>
      <c r="T108" s="688" t="s">
        <v>1263</v>
      </c>
      <c r="U108" s="694">
        <v>5000</v>
      </c>
      <c r="V108" s="688" t="s">
        <v>886</v>
      </c>
      <c r="W108" s="695">
        <v>34335</v>
      </c>
      <c r="X108" s="696" t="s">
        <v>767</v>
      </c>
      <c r="Y108" s="688" t="s">
        <v>1264</v>
      </c>
      <c r="Z108" s="688" t="s">
        <v>1265</v>
      </c>
      <c r="AA108" s="688" t="s">
        <v>891</v>
      </c>
      <c r="AB108" s="688" t="s">
        <v>891</v>
      </c>
      <c r="AC108" s="688"/>
      <c r="AD108" s="688"/>
      <c r="AE108" s="689">
        <v>11607408.380000001</v>
      </c>
      <c r="AF108" s="693">
        <v>1.47</v>
      </c>
      <c r="AG108" s="688" t="s">
        <v>891</v>
      </c>
      <c r="AH108" s="693">
        <v>1.47</v>
      </c>
      <c r="AI108" s="697" t="s">
        <v>767</v>
      </c>
      <c r="AJ108" s="698" t="s">
        <v>1266</v>
      </c>
      <c r="AK108" s="699">
        <f t="shared" si="14"/>
        <v>62460</v>
      </c>
      <c r="AL108" s="685" t="s">
        <v>159</v>
      </c>
      <c r="AM108" s="699">
        <v>2500</v>
      </c>
      <c r="AN108" s="699">
        <v>1000</v>
      </c>
    </row>
    <row r="109" spans="1:40" x14ac:dyDescent="0.3">
      <c r="A109" s="669" t="s">
        <v>1267</v>
      </c>
      <c r="B109" s="686" t="e">
        <f t="shared" si="15"/>
        <v>#REF!</v>
      </c>
      <c r="C109" s="687">
        <f t="shared" si="8"/>
        <v>108</v>
      </c>
      <c r="D109" s="688">
        <v>100</v>
      </c>
      <c r="E109" s="688">
        <v>299</v>
      </c>
      <c r="F109" s="689"/>
      <c r="G109" s="689">
        <v>84.16</v>
      </c>
      <c r="H109" s="690">
        <v>0.95499999999999996</v>
      </c>
      <c r="I109" s="691">
        <f t="shared" si="16"/>
        <v>0</v>
      </c>
      <c r="J109" s="692">
        <f t="shared" si="17"/>
        <v>0</v>
      </c>
      <c r="K109" s="692">
        <v>0</v>
      </c>
      <c r="L109" s="692">
        <f t="shared" si="18"/>
        <v>0</v>
      </c>
      <c r="M109" s="693">
        <v>6.35</v>
      </c>
      <c r="N109" s="693">
        <v>0</v>
      </c>
      <c r="O109" s="691">
        <f t="shared" si="9"/>
        <v>0</v>
      </c>
      <c r="P109" s="688" t="s">
        <v>1263</v>
      </c>
      <c r="Q109" s="694">
        <v>5000</v>
      </c>
      <c r="R109" s="688" t="s">
        <v>886</v>
      </c>
      <c r="S109" s="688" t="e">
        <f>+#REF!</f>
        <v>#REF!</v>
      </c>
      <c r="T109" s="688" t="s">
        <v>1263</v>
      </c>
      <c r="U109" s="694">
        <v>5000</v>
      </c>
      <c r="V109" s="688" t="s">
        <v>886</v>
      </c>
      <c r="W109" s="695">
        <v>34745</v>
      </c>
      <c r="X109" s="696" t="s">
        <v>767</v>
      </c>
      <c r="Y109" s="688" t="s">
        <v>1268</v>
      </c>
      <c r="Z109" s="688" t="s">
        <v>1269</v>
      </c>
      <c r="AA109" s="688" t="s">
        <v>891</v>
      </c>
      <c r="AB109" s="688" t="s">
        <v>891</v>
      </c>
      <c r="AC109" s="688"/>
      <c r="AD109" s="688"/>
      <c r="AE109" s="689">
        <v>14975322.26</v>
      </c>
      <c r="AF109" s="693">
        <v>1.89</v>
      </c>
      <c r="AG109" s="688" t="s">
        <v>891</v>
      </c>
      <c r="AH109" s="693">
        <v>1.89</v>
      </c>
      <c r="AI109" s="697" t="s">
        <v>767</v>
      </c>
      <c r="AJ109" s="698" t="s">
        <v>1270</v>
      </c>
      <c r="AK109" s="699">
        <f t="shared" si="14"/>
        <v>84160</v>
      </c>
      <c r="AL109" s="685" t="s">
        <v>159</v>
      </c>
      <c r="AM109" s="699">
        <v>2500</v>
      </c>
      <c r="AN109" s="699">
        <v>1000</v>
      </c>
    </row>
    <row r="110" spans="1:40" x14ac:dyDescent="0.3">
      <c r="A110" s="669" t="s">
        <v>1271</v>
      </c>
      <c r="B110" s="686" t="e">
        <f t="shared" si="15"/>
        <v>#REF!</v>
      </c>
      <c r="C110" s="687">
        <f t="shared" si="8"/>
        <v>109</v>
      </c>
      <c r="D110" s="688">
        <v>100</v>
      </c>
      <c r="E110" s="688">
        <v>299</v>
      </c>
      <c r="F110" s="689"/>
      <c r="G110" s="689">
        <v>62.55</v>
      </c>
      <c r="H110" s="690">
        <v>1</v>
      </c>
      <c r="I110" s="691">
        <f t="shared" si="16"/>
        <v>0</v>
      </c>
      <c r="J110" s="692">
        <f t="shared" si="17"/>
        <v>0</v>
      </c>
      <c r="K110" s="692">
        <v>0</v>
      </c>
      <c r="L110" s="692">
        <f t="shared" si="18"/>
        <v>0</v>
      </c>
      <c r="M110" s="693">
        <v>1.91</v>
      </c>
      <c r="N110" s="693">
        <v>1.67</v>
      </c>
      <c r="O110" s="691">
        <f t="shared" si="9"/>
        <v>0</v>
      </c>
      <c r="P110" s="688" t="s">
        <v>1263</v>
      </c>
      <c r="Q110" s="694">
        <v>5000</v>
      </c>
      <c r="R110" s="688" t="s">
        <v>886</v>
      </c>
      <c r="S110" s="688" t="e">
        <f>+#REF!</f>
        <v>#REF!</v>
      </c>
      <c r="T110" s="688" t="s">
        <v>1263</v>
      </c>
      <c r="U110" s="694">
        <v>5000</v>
      </c>
      <c r="V110" s="688" t="s">
        <v>886</v>
      </c>
      <c r="W110" s="695">
        <v>34335</v>
      </c>
      <c r="X110" s="696" t="s">
        <v>767</v>
      </c>
      <c r="Y110" s="688" t="s">
        <v>1272</v>
      </c>
      <c r="Z110" s="688" t="s">
        <v>1273</v>
      </c>
      <c r="AA110" s="688" t="s">
        <v>891</v>
      </c>
      <c r="AB110" s="688" t="s">
        <v>891</v>
      </c>
      <c r="AC110" s="688"/>
      <c r="AD110" s="688"/>
      <c r="AE110" s="689">
        <v>11624133.75</v>
      </c>
      <c r="AF110" s="693">
        <v>1.47</v>
      </c>
      <c r="AG110" s="688" t="s">
        <v>891</v>
      </c>
      <c r="AH110" s="693">
        <v>1.47</v>
      </c>
      <c r="AI110" s="697" t="s">
        <v>767</v>
      </c>
      <c r="AJ110" s="698" t="s">
        <v>1274</v>
      </c>
      <c r="AK110" s="699">
        <f t="shared" si="14"/>
        <v>62550</v>
      </c>
      <c r="AL110" s="685" t="s">
        <v>159</v>
      </c>
      <c r="AM110" s="699">
        <v>2500</v>
      </c>
      <c r="AN110" s="699">
        <v>1000</v>
      </c>
    </row>
    <row r="111" spans="1:40" x14ac:dyDescent="0.3">
      <c r="A111" s="669" t="s">
        <v>1275</v>
      </c>
      <c r="B111" s="686" t="e">
        <f t="shared" si="15"/>
        <v>#REF!</v>
      </c>
      <c r="C111" s="687">
        <f t="shared" si="8"/>
        <v>110</v>
      </c>
      <c r="D111" s="688">
        <v>100</v>
      </c>
      <c r="E111" s="688">
        <v>299</v>
      </c>
      <c r="F111" s="689"/>
      <c r="G111" s="689">
        <v>75.06</v>
      </c>
      <c r="H111" s="690">
        <v>0.96599999999999997</v>
      </c>
      <c r="I111" s="691">
        <f t="shared" si="16"/>
        <v>0</v>
      </c>
      <c r="J111" s="692">
        <f t="shared" si="17"/>
        <v>0</v>
      </c>
      <c r="K111" s="692">
        <v>0</v>
      </c>
      <c r="L111" s="692">
        <f t="shared" si="18"/>
        <v>0</v>
      </c>
      <c r="M111" s="693">
        <v>3.81</v>
      </c>
      <c r="N111" s="693">
        <v>0</v>
      </c>
      <c r="O111" s="691">
        <f t="shared" si="9"/>
        <v>0</v>
      </c>
      <c r="P111" s="688" t="s">
        <v>1263</v>
      </c>
      <c r="Q111" s="694">
        <v>5000</v>
      </c>
      <c r="R111" s="688" t="s">
        <v>886</v>
      </c>
      <c r="S111" s="688" t="e">
        <f>+#REF!</f>
        <v>#REF!</v>
      </c>
      <c r="T111" s="688" t="s">
        <v>1263</v>
      </c>
      <c r="U111" s="694">
        <v>5000</v>
      </c>
      <c r="V111" s="688" t="s">
        <v>886</v>
      </c>
      <c r="W111" s="695">
        <v>34335</v>
      </c>
      <c r="X111" s="696" t="s">
        <v>767</v>
      </c>
      <c r="Y111" s="688" t="s">
        <v>1276</v>
      </c>
      <c r="Z111" s="688" t="s">
        <v>1277</v>
      </c>
      <c r="AA111" s="688" t="s">
        <v>891</v>
      </c>
      <c r="AB111" s="688" t="s">
        <v>891</v>
      </c>
      <c r="AC111" s="688"/>
      <c r="AD111" s="688"/>
      <c r="AE111" s="689">
        <v>13474695.84</v>
      </c>
      <c r="AF111" s="693">
        <v>1.7</v>
      </c>
      <c r="AG111" s="688" t="s">
        <v>891</v>
      </c>
      <c r="AH111" s="693">
        <v>1.7</v>
      </c>
      <c r="AI111" s="697" t="s">
        <v>767</v>
      </c>
      <c r="AJ111" s="698" t="s">
        <v>1278</v>
      </c>
      <c r="AK111" s="699">
        <f t="shared" si="14"/>
        <v>75060</v>
      </c>
      <c r="AL111" s="685" t="s">
        <v>159</v>
      </c>
      <c r="AM111" s="699">
        <v>2500</v>
      </c>
      <c r="AN111" s="699">
        <v>1000</v>
      </c>
    </row>
    <row r="112" spans="1:40" x14ac:dyDescent="0.3">
      <c r="A112" s="669" t="s">
        <v>1279</v>
      </c>
      <c r="B112" s="686" t="e">
        <f t="shared" si="15"/>
        <v>#REF!</v>
      </c>
      <c r="C112" s="687">
        <f t="shared" si="8"/>
        <v>111</v>
      </c>
      <c r="D112" s="688">
        <v>100</v>
      </c>
      <c r="E112" s="688">
        <v>299</v>
      </c>
      <c r="F112" s="689"/>
      <c r="G112" s="689">
        <v>62.46</v>
      </c>
      <c r="H112" s="690">
        <v>1</v>
      </c>
      <c r="I112" s="691">
        <f t="shared" si="16"/>
        <v>0</v>
      </c>
      <c r="J112" s="692">
        <f t="shared" si="17"/>
        <v>0</v>
      </c>
      <c r="K112" s="692">
        <v>0</v>
      </c>
      <c r="L112" s="692">
        <f t="shared" si="18"/>
        <v>0</v>
      </c>
      <c r="M112" s="693">
        <v>1.3943700000000001</v>
      </c>
      <c r="N112" s="693">
        <v>1.21916</v>
      </c>
      <c r="O112" s="691">
        <f t="shared" si="9"/>
        <v>0</v>
      </c>
      <c r="P112" s="688" t="s">
        <v>1263</v>
      </c>
      <c r="Q112" s="694">
        <v>5000</v>
      </c>
      <c r="R112" s="688" t="s">
        <v>886</v>
      </c>
      <c r="S112" s="688" t="e">
        <f>+#REF!</f>
        <v>#REF!</v>
      </c>
      <c r="T112" s="688" t="s">
        <v>1263</v>
      </c>
      <c r="U112" s="694">
        <v>5000</v>
      </c>
      <c r="V112" s="688" t="s">
        <v>886</v>
      </c>
      <c r="W112" s="695">
        <v>34335</v>
      </c>
      <c r="X112" s="696" t="s">
        <v>767</v>
      </c>
      <c r="Y112" s="688" t="s">
        <v>1280</v>
      </c>
      <c r="Z112" s="688" t="s">
        <v>1281</v>
      </c>
      <c r="AA112" s="688" t="s">
        <v>891</v>
      </c>
      <c r="AB112" s="688" t="s">
        <v>891</v>
      </c>
      <c r="AC112" s="688"/>
      <c r="AD112" s="688"/>
      <c r="AE112" s="689">
        <v>11607408.380000001</v>
      </c>
      <c r="AF112" s="693">
        <v>1.47</v>
      </c>
      <c r="AG112" s="688" t="s">
        <v>891</v>
      </c>
      <c r="AH112" s="693">
        <v>1.47</v>
      </c>
      <c r="AI112" s="697" t="s">
        <v>767</v>
      </c>
      <c r="AJ112" s="698" t="s">
        <v>1282</v>
      </c>
      <c r="AK112" s="699">
        <f t="shared" si="14"/>
        <v>62460</v>
      </c>
      <c r="AL112" s="685" t="s">
        <v>159</v>
      </c>
      <c r="AM112" s="699">
        <v>2500</v>
      </c>
      <c r="AN112" s="699">
        <v>1000</v>
      </c>
    </row>
    <row r="113" spans="1:40" x14ac:dyDescent="0.3">
      <c r="A113" s="669" t="s">
        <v>1283</v>
      </c>
      <c r="B113" s="686" t="e">
        <f t="shared" si="15"/>
        <v>#REF!</v>
      </c>
      <c r="C113" s="687">
        <f t="shared" si="8"/>
        <v>112</v>
      </c>
      <c r="D113" s="688">
        <v>100</v>
      </c>
      <c r="E113" s="688">
        <v>299</v>
      </c>
      <c r="F113" s="689"/>
      <c r="G113" s="689">
        <v>74.63</v>
      </c>
      <c r="H113" s="690">
        <v>0.96599999999999997</v>
      </c>
      <c r="I113" s="691">
        <f t="shared" si="16"/>
        <v>0</v>
      </c>
      <c r="J113" s="692">
        <f t="shared" si="17"/>
        <v>0</v>
      </c>
      <c r="K113" s="692">
        <v>0</v>
      </c>
      <c r="L113" s="692">
        <f t="shared" si="18"/>
        <v>0</v>
      </c>
      <c r="M113" s="693">
        <v>3.81</v>
      </c>
      <c r="N113" s="693">
        <v>0</v>
      </c>
      <c r="O113" s="691">
        <f t="shared" si="9"/>
        <v>0</v>
      </c>
      <c r="P113" s="688" t="s">
        <v>1284</v>
      </c>
      <c r="Q113" s="694">
        <v>5000</v>
      </c>
      <c r="R113" s="688" t="s">
        <v>886</v>
      </c>
      <c r="S113" s="688" t="e">
        <f>+#REF!</f>
        <v>#REF!</v>
      </c>
      <c r="T113" s="688" t="s">
        <v>1284</v>
      </c>
      <c r="U113" s="694">
        <v>5000</v>
      </c>
      <c r="V113" s="688" t="s">
        <v>886</v>
      </c>
      <c r="W113" s="695">
        <v>36800</v>
      </c>
      <c r="X113" s="696" t="s">
        <v>767</v>
      </c>
      <c r="Y113" s="688" t="s">
        <v>1285</v>
      </c>
      <c r="Z113" s="688" t="s">
        <v>1286</v>
      </c>
      <c r="AA113" s="688" t="s">
        <v>891</v>
      </c>
      <c r="AB113" s="688" t="s">
        <v>891</v>
      </c>
      <c r="AC113" s="688"/>
      <c r="AD113" s="688"/>
      <c r="AE113" s="689">
        <v>13397502.67</v>
      </c>
      <c r="AF113" s="693">
        <v>1.5119499999999999</v>
      </c>
      <c r="AG113" s="688" t="s">
        <v>891</v>
      </c>
      <c r="AH113" s="693">
        <v>1.5119499999999999</v>
      </c>
      <c r="AI113" s="697" t="s">
        <v>767</v>
      </c>
      <c r="AJ113" s="698" t="s">
        <v>1287</v>
      </c>
      <c r="AK113" s="699">
        <f t="shared" si="14"/>
        <v>74630</v>
      </c>
      <c r="AL113" s="685" t="s">
        <v>159</v>
      </c>
      <c r="AM113" s="699">
        <v>2500</v>
      </c>
      <c r="AN113" s="699">
        <v>1000</v>
      </c>
    </row>
    <row r="114" spans="1:40" x14ac:dyDescent="0.3">
      <c r="A114" s="669" t="s">
        <v>1288</v>
      </c>
      <c r="B114" s="686" t="e">
        <f t="shared" si="15"/>
        <v>#REF!</v>
      </c>
      <c r="C114" s="687">
        <f t="shared" si="8"/>
        <v>113</v>
      </c>
      <c r="D114" s="688">
        <v>100</v>
      </c>
      <c r="E114" s="688">
        <v>299</v>
      </c>
      <c r="F114" s="689"/>
      <c r="G114" s="689">
        <v>62.57</v>
      </c>
      <c r="H114" s="690">
        <v>1</v>
      </c>
      <c r="I114" s="691">
        <f t="shared" si="16"/>
        <v>0</v>
      </c>
      <c r="J114" s="692">
        <f t="shared" si="17"/>
        <v>0</v>
      </c>
      <c r="K114" s="692">
        <v>0</v>
      </c>
      <c r="L114" s="692">
        <f t="shared" si="18"/>
        <v>0</v>
      </c>
      <c r="M114" s="693">
        <v>1.3943700000000001</v>
      </c>
      <c r="N114" s="693">
        <v>1.21916</v>
      </c>
      <c r="O114" s="691">
        <f t="shared" si="9"/>
        <v>0</v>
      </c>
      <c r="P114" s="688" t="s">
        <v>1284</v>
      </c>
      <c r="Q114" s="694">
        <v>5000</v>
      </c>
      <c r="R114" s="688" t="s">
        <v>886</v>
      </c>
      <c r="S114" s="688" t="e">
        <f>+#REF!</f>
        <v>#REF!</v>
      </c>
      <c r="T114" s="688" t="s">
        <v>1284</v>
      </c>
      <c r="U114" s="694">
        <v>5000</v>
      </c>
      <c r="V114" s="688" t="s">
        <v>886</v>
      </c>
      <c r="W114" s="695">
        <v>34335</v>
      </c>
      <c r="X114" s="696" t="s">
        <v>767</v>
      </c>
      <c r="Y114" s="688" t="s">
        <v>1289</v>
      </c>
      <c r="Z114" s="688" t="s">
        <v>1290</v>
      </c>
      <c r="AA114" s="688" t="s">
        <v>891</v>
      </c>
      <c r="AB114" s="688" t="s">
        <v>891</v>
      </c>
      <c r="AC114" s="688"/>
      <c r="AD114" s="688"/>
      <c r="AE114" s="689">
        <v>11627850.5</v>
      </c>
      <c r="AF114" s="693">
        <v>1.3122389999999999</v>
      </c>
      <c r="AG114" s="688" t="s">
        <v>891</v>
      </c>
      <c r="AH114" s="693">
        <v>1.3122389999999999</v>
      </c>
      <c r="AI114" s="697" t="s">
        <v>767</v>
      </c>
      <c r="AJ114" s="698" t="s">
        <v>1291</v>
      </c>
      <c r="AK114" s="699">
        <f t="shared" si="14"/>
        <v>62570</v>
      </c>
      <c r="AL114" s="685" t="s">
        <v>159</v>
      </c>
      <c r="AM114" s="699">
        <v>2500</v>
      </c>
      <c r="AN114" s="699">
        <v>1000</v>
      </c>
    </row>
    <row r="115" spans="1:40" x14ac:dyDescent="0.3">
      <c r="A115" s="669" t="s">
        <v>1292</v>
      </c>
      <c r="B115" s="686" t="e">
        <f t="shared" si="15"/>
        <v>#REF!</v>
      </c>
      <c r="C115" s="687">
        <f t="shared" si="8"/>
        <v>114</v>
      </c>
      <c r="D115" s="688">
        <v>100</v>
      </c>
      <c r="E115" s="688">
        <v>299</v>
      </c>
      <c r="F115" s="689"/>
      <c r="G115" s="689">
        <v>30.54</v>
      </c>
      <c r="H115" s="690">
        <v>1.0569999999999999</v>
      </c>
      <c r="I115" s="691">
        <f t="shared" si="16"/>
        <v>0</v>
      </c>
      <c r="J115" s="692">
        <f t="shared" si="17"/>
        <v>0</v>
      </c>
      <c r="K115" s="692">
        <v>7047</v>
      </c>
      <c r="L115" s="692">
        <f t="shared" si="18"/>
        <v>-7047</v>
      </c>
      <c r="M115" s="693">
        <v>1.3943700000000001</v>
      </c>
      <c r="N115" s="693">
        <v>1.21916</v>
      </c>
      <c r="O115" s="691">
        <f t="shared" si="9"/>
        <v>0</v>
      </c>
      <c r="P115" s="688" t="s">
        <v>1284</v>
      </c>
      <c r="Q115" s="694">
        <v>5000</v>
      </c>
      <c r="R115" s="688" t="s">
        <v>886</v>
      </c>
      <c r="S115" s="688" t="e">
        <f>+#REF!</f>
        <v>#REF!</v>
      </c>
      <c r="T115" s="688" t="s">
        <v>1284</v>
      </c>
      <c r="U115" s="694">
        <v>5000</v>
      </c>
      <c r="V115" s="688" t="s">
        <v>886</v>
      </c>
      <c r="W115" s="695">
        <v>36465</v>
      </c>
      <c r="X115" s="696" t="s">
        <v>767</v>
      </c>
      <c r="Y115" s="688" t="s">
        <v>1293</v>
      </c>
      <c r="Z115" s="688" t="s">
        <v>1294</v>
      </c>
      <c r="AA115" s="688" t="s">
        <v>891</v>
      </c>
      <c r="AB115" s="688" t="s">
        <v>891</v>
      </c>
      <c r="AC115" s="688" t="s">
        <v>1074</v>
      </c>
      <c r="AD115" s="688" t="s">
        <v>1295</v>
      </c>
      <c r="AE115" s="689">
        <v>5998978.4800000004</v>
      </c>
      <c r="AF115" s="693">
        <v>0.67700300000000002</v>
      </c>
      <c r="AG115" s="688" t="s">
        <v>891</v>
      </c>
      <c r="AH115" s="693">
        <v>0.67700300000000002</v>
      </c>
      <c r="AI115" s="697" t="s">
        <v>767</v>
      </c>
      <c r="AJ115" s="698" t="s">
        <v>1296</v>
      </c>
      <c r="AK115" s="699">
        <f t="shared" si="14"/>
        <v>30540</v>
      </c>
      <c r="AL115" s="685" t="s">
        <v>159</v>
      </c>
      <c r="AM115" s="699">
        <v>2500</v>
      </c>
      <c r="AN115" s="699">
        <v>1000</v>
      </c>
    </row>
    <row r="116" spans="1:40" x14ac:dyDescent="0.3">
      <c r="A116" s="669" t="s">
        <v>1297</v>
      </c>
      <c r="B116" s="686" t="e">
        <f t="shared" si="15"/>
        <v>#REF!</v>
      </c>
      <c r="C116" s="687">
        <f t="shared" si="8"/>
        <v>115</v>
      </c>
      <c r="D116" s="688">
        <v>100</v>
      </c>
      <c r="E116" s="688">
        <v>299</v>
      </c>
      <c r="F116" s="689"/>
      <c r="G116" s="689">
        <v>58.79</v>
      </c>
      <c r="H116" s="690">
        <v>1</v>
      </c>
      <c r="I116" s="691">
        <f t="shared" si="16"/>
        <v>0</v>
      </c>
      <c r="J116" s="692">
        <f t="shared" si="17"/>
        <v>0</v>
      </c>
      <c r="K116" s="692">
        <v>0</v>
      </c>
      <c r="L116" s="692">
        <f t="shared" si="18"/>
        <v>0</v>
      </c>
      <c r="M116" s="693">
        <v>1.91</v>
      </c>
      <c r="N116" s="693">
        <v>1.67</v>
      </c>
      <c r="O116" s="691">
        <f t="shared" si="9"/>
        <v>0</v>
      </c>
      <c r="P116" s="688" t="s">
        <v>1298</v>
      </c>
      <c r="Q116" s="694">
        <v>5000</v>
      </c>
      <c r="R116" s="688" t="s">
        <v>886</v>
      </c>
      <c r="S116" s="688" t="e">
        <f>+#REF!</f>
        <v>#REF!</v>
      </c>
      <c r="T116" s="688" t="s">
        <v>1298</v>
      </c>
      <c r="U116" s="694">
        <v>5000</v>
      </c>
      <c r="V116" s="688" t="s">
        <v>886</v>
      </c>
      <c r="W116" s="695">
        <v>37592</v>
      </c>
      <c r="X116" s="696" t="s">
        <v>767</v>
      </c>
      <c r="Y116" s="688" t="s">
        <v>1299</v>
      </c>
      <c r="Z116" s="688" t="s">
        <v>1300</v>
      </c>
      <c r="AA116" s="688" t="s">
        <v>891</v>
      </c>
      <c r="AB116" s="688" t="s">
        <v>891</v>
      </c>
      <c r="AC116" s="688"/>
      <c r="AD116" s="688"/>
      <c r="AE116" s="689">
        <v>10925384.859999999</v>
      </c>
      <c r="AF116" s="693">
        <v>2.0893169999999999</v>
      </c>
      <c r="AG116" s="688" t="s">
        <v>891</v>
      </c>
      <c r="AH116" s="693">
        <v>2.0893169999999999</v>
      </c>
      <c r="AI116" s="697" t="s">
        <v>767</v>
      </c>
      <c r="AJ116" s="698" t="s">
        <v>1301</v>
      </c>
      <c r="AK116" s="699">
        <f t="shared" si="14"/>
        <v>58790</v>
      </c>
      <c r="AL116" s="685" t="s">
        <v>159</v>
      </c>
      <c r="AM116" s="699">
        <v>2500</v>
      </c>
      <c r="AN116" s="699">
        <v>1000</v>
      </c>
    </row>
    <row r="117" spans="1:40" x14ac:dyDescent="0.3">
      <c r="A117" s="669" t="s">
        <v>1302</v>
      </c>
      <c r="B117" s="686" t="e">
        <f t="shared" si="15"/>
        <v>#REF!</v>
      </c>
      <c r="C117" s="687">
        <f t="shared" si="8"/>
        <v>116</v>
      </c>
      <c r="D117" s="688">
        <v>100</v>
      </c>
      <c r="E117" s="688">
        <v>309</v>
      </c>
      <c r="F117" s="689"/>
      <c r="G117" s="689">
        <v>84.37</v>
      </c>
      <c r="H117" s="690">
        <v>0.95499999999999996</v>
      </c>
      <c r="I117" s="691">
        <f t="shared" si="16"/>
        <v>0</v>
      </c>
      <c r="J117" s="692">
        <f t="shared" si="17"/>
        <v>0</v>
      </c>
      <c r="K117" s="692">
        <v>0</v>
      </c>
      <c r="L117" s="692">
        <f t="shared" si="18"/>
        <v>0</v>
      </c>
      <c r="M117" s="693">
        <v>3.81</v>
      </c>
      <c r="N117" s="693">
        <v>0</v>
      </c>
      <c r="O117" s="691">
        <f t="shared" si="9"/>
        <v>0</v>
      </c>
      <c r="P117" s="688" t="s">
        <v>1303</v>
      </c>
      <c r="Q117" s="694">
        <v>5000</v>
      </c>
      <c r="R117" s="688" t="s">
        <v>886</v>
      </c>
      <c r="S117" s="688" t="e">
        <f>+#REF!</f>
        <v>#REF!</v>
      </c>
      <c r="T117" s="688" t="s">
        <v>1303</v>
      </c>
      <c r="U117" s="694">
        <v>5000</v>
      </c>
      <c r="V117" s="688" t="s">
        <v>886</v>
      </c>
      <c r="W117" s="695">
        <v>35431</v>
      </c>
      <c r="X117" s="696" t="s">
        <v>1304</v>
      </c>
      <c r="Y117" s="688" t="s">
        <v>1305</v>
      </c>
      <c r="Z117" s="688" t="s">
        <v>1306</v>
      </c>
      <c r="AA117" s="688" t="s">
        <v>891</v>
      </c>
      <c r="AB117" s="688" t="s">
        <v>891</v>
      </c>
      <c r="AC117" s="688"/>
      <c r="AD117" s="688"/>
      <c r="AE117" s="689">
        <v>15474335.060000001</v>
      </c>
      <c r="AF117" s="693">
        <v>1.8001400000000001</v>
      </c>
      <c r="AG117" s="688" t="s">
        <v>891</v>
      </c>
      <c r="AH117" s="693">
        <v>1.8001400000000001</v>
      </c>
      <c r="AI117" s="697" t="s">
        <v>1304</v>
      </c>
      <c r="AJ117" s="698" t="s">
        <v>1307</v>
      </c>
      <c r="AK117" s="699">
        <f t="shared" si="14"/>
        <v>84370</v>
      </c>
      <c r="AL117" s="685" t="s">
        <v>159</v>
      </c>
      <c r="AM117" s="699">
        <v>2500</v>
      </c>
      <c r="AN117" s="699">
        <v>1000</v>
      </c>
    </row>
    <row r="118" spans="1:40" x14ac:dyDescent="0.3">
      <c r="A118" s="669" t="s">
        <v>1308</v>
      </c>
      <c r="B118" s="686" t="e">
        <f t="shared" si="15"/>
        <v>#REF!</v>
      </c>
      <c r="C118" s="687">
        <f t="shared" si="8"/>
        <v>117</v>
      </c>
      <c r="D118" s="688">
        <v>100</v>
      </c>
      <c r="E118" s="688">
        <v>309</v>
      </c>
      <c r="F118" s="689"/>
      <c r="G118" s="689">
        <v>74.44</v>
      </c>
      <c r="H118" s="690">
        <v>0.96599999999999997</v>
      </c>
      <c r="I118" s="691">
        <f t="shared" si="16"/>
        <v>0</v>
      </c>
      <c r="J118" s="692">
        <f t="shared" si="17"/>
        <v>0</v>
      </c>
      <c r="K118" s="692">
        <v>0</v>
      </c>
      <c r="L118" s="692">
        <f t="shared" si="18"/>
        <v>0</v>
      </c>
      <c r="M118" s="693">
        <v>3.81</v>
      </c>
      <c r="N118" s="693">
        <v>0</v>
      </c>
      <c r="O118" s="691">
        <f t="shared" si="9"/>
        <v>0</v>
      </c>
      <c r="P118" s="688" t="s">
        <v>1303</v>
      </c>
      <c r="Q118" s="694">
        <v>5000</v>
      </c>
      <c r="R118" s="688" t="s">
        <v>886</v>
      </c>
      <c r="S118" s="688" t="e">
        <f>+#REF!</f>
        <v>#REF!</v>
      </c>
      <c r="T118" s="688" t="s">
        <v>1303</v>
      </c>
      <c r="U118" s="694">
        <v>5000</v>
      </c>
      <c r="V118" s="688" t="s">
        <v>886</v>
      </c>
      <c r="W118" s="695">
        <v>35431</v>
      </c>
      <c r="X118" s="696" t="s">
        <v>1304</v>
      </c>
      <c r="Y118" s="688" t="s">
        <v>1309</v>
      </c>
      <c r="Z118" s="688" t="s">
        <v>1310</v>
      </c>
      <c r="AA118" s="688" t="s">
        <v>891</v>
      </c>
      <c r="AB118" s="688" t="s">
        <v>891</v>
      </c>
      <c r="AC118" s="688"/>
      <c r="AD118" s="688"/>
      <c r="AE118" s="689">
        <v>13810330.32</v>
      </c>
      <c r="AF118" s="693">
        <v>1.606565</v>
      </c>
      <c r="AG118" s="688" t="s">
        <v>891</v>
      </c>
      <c r="AH118" s="693">
        <v>1.606565</v>
      </c>
      <c r="AI118" s="697" t="s">
        <v>1304</v>
      </c>
      <c r="AJ118" s="698" t="s">
        <v>1311</v>
      </c>
      <c r="AK118" s="699">
        <f t="shared" si="14"/>
        <v>74440</v>
      </c>
      <c r="AL118" s="685" t="s">
        <v>159</v>
      </c>
      <c r="AM118" s="699">
        <v>2500</v>
      </c>
      <c r="AN118" s="699">
        <v>1000</v>
      </c>
    </row>
    <row r="119" spans="1:40" x14ac:dyDescent="0.3">
      <c r="A119" s="669" t="s">
        <v>1312</v>
      </c>
      <c r="B119" s="686" t="e">
        <f t="shared" si="15"/>
        <v>#REF!</v>
      </c>
      <c r="C119" s="687">
        <f t="shared" si="8"/>
        <v>118</v>
      </c>
      <c r="D119" s="688">
        <v>100</v>
      </c>
      <c r="E119" s="688">
        <v>309</v>
      </c>
      <c r="F119" s="689"/>
      <c r="G119" s="689">
        <v>84.29</v>
      </c>
      <c r="H119" s="690">
        <v>0.95499999999999996</v>
      </c>
      <c r="I119" s="691">
        <f t="shared" si="16"/>
        <v>0</v>
      </c>
      <c r="J119" s="692">
        <f t="shared" si="17"/>
        <v>0</v>
      </c>
      <c r="K119" s="692">
        <v>0</v>
      </c>
      <c r="L119" s="692">
        <f t="shared" si="18"/>
        <v>0</v>
      </c>
      <c r="M119" s="693">
        <v>5.08</v>
      </c>
      <c r="N119" s="693">
        <v>0</v>
      </c>
      <c r="O119" s="691">
        <f t="shared" si="9"/>
        <v>0</v>
      </c>
      <c r="P119" s="688" t="s">
        <v>1313</v>
      </c>
      <c r="Q119" s="694">
        <v>5000</v>
      </c>
      <c r="R119" s="688" t="s">
        <v>886</v>
      </c>
      <c r="S119" s="688" t="e">
        <f>+#REF!</f>
        <v>#REF!</v>
      </c>
      <c r="T119" s="688" t="s">
        <v>1313</v>
      </c>
      <c r="U119" s="694">
        <v>5000</v>
      </c>
      <c r="V119" s="688" t="s">
        <v>886</v>
      </c>
      <c r="W119" s="695">
        <v>37530</v>
      </c>
      <c r="X119" s="696" t="s">
        <v>1304</v>
      </c>
      <c r="Y119" s="688" t="s">
        <v>1314</v>
      </c>
      <c r="Z119" s="688" t="s">
        <v>1315</v>
      </c>
      <c r="AA119" s="688" t="s">
        <v>891</v>
      </c>
      <c r="AB119" s="688" t="s">
        <v>891</v>
      </c>
      <c r="AC119" s="688"/>
      <c r="AD119" s="688"/>
      <c r="AE119" s="689">
        <v>15459662.220000001</v>
      </c>
      <c r="AF119" s="693">
        <v>1.6934180000000001</v>
      </c>
      <c r="AG119" s="688" t="s">
        <v>891</v>
      </c>
      <c r="AH119" s="693">
        <v>1.6934180000000001</v>
      </c>
      <c r="AI119" s="697" t="s">
        <v>1304</v>
      </c>
      <c r="AJ119" s="698" t="s">
        <v>1316</v>
      </c>
      <c r="AK119" s="699">
        <f t="shared" si="14"/>
        <v>84290</v>
      </c>
      <c r="AL119" s="685" t="s">
        <v>159</v>
      </c>
      <c r="AM119" s="699">
        <v>2500</v>
      </c>
      <c r="AN119" s="699">
        <v>1000</v>
      </c>
    </row>
    <row r="120" spans="1:40" x14ac:dyDescent="0.3">
      <c r="A120" s="669" t="s">
        <v>1317</v>
      </c>
      <c r="B120" s="686" t="e">
        <f t="shared" si="15"/>
        <v>#REF!</v>
      </c>
      <c r="C120" s="687">
        <f t="shared" si="8"/>
        <v>119</v>
      </c>
      <c r="D120" s="688">
        <v>100</v>
      </c>
      <c r="E120" s="688">
        <v>309</v>
      </c>
      <c r="F120" s="689"/>
      <c r="G120" s="689">
        <v>62.56</v>
      </c>
      <c r="H120" s="690">
        <v>1</v>
      </c>
      <c r="I120" s="691">
        <f t="shared" si="16"/>
        <v>0</v>
      </c>
      <c r="J120" s="692">
        <f t="shared" si="17"/>
        <v>0</v>
      </c>
      <c r="K120" s="692">
        <v>0</v>
      </c>
      <c r="L120" s="692">
        <f t="shared" si="18"/>
        <v>0</v>
      </c>
      <c r="M120" s="693">
        <v>3.81</v>
      </c>
      <c r="N120" s="693">
        <v>0</v>
      </c>
      <c r="O120" s="691">
        <f t="shared" si="9"/>
        <v>0</v>
      </c>
      <c r="P120" s="688" t="s">
        <v>1313</v>
      </c>
      <c r="Q120" s="694">
        <v>5000</v>
      </c>
      <c r="R120" s="688" t="s">
        <v>886</v>
      </c>
      <c r="S120" s="688" t="e">
        <f>+#REF!</f>
        <v>#REF!</v>
      </c>
      <c r="T120" s="688" t="s">
        <v>1313</v>
      </c>
      <c r="U120" s="694">
        <v>5000</v>
      </c>
      <c r="V120" s="688" t="s">
        <v>886</v>
      </c>
      <c r="W120" s="695">
        <v>35827</v>
      </c>
      <c r="X120" s="696" t="s">
        <v>1304</v>
      </c>
      <c r="Y120" s="688" t="s">
        <v>1318</v>
      </c>
      <c r="Z120" s="688" t="s">
        <v>1319</v>
      </c>
      <c r="AA120" s="688" t="s">
        <v>891</v>
      </c>
      <c r="AB120" s="688" t="s">
        <v>891</v>
      </c>
      <c r="AC120" s="688"/>
      <c r="AD120" s="688"/>
      <c r="AE120" s="689">
        <v>12014821.289999999</v>
      </c>
      <c r="AF120" s="693">
        <v>1.3160780000000001</v>
      </c>
      <c r="AG120" s="688" t="s">
        <v>891</v>
      </c>
      <c r="AH120" s="693">
        <v>1.3160780000000001</v>
      </c>
      <c r="AI120" s="697" t="s">
        <v>1304</v>
      </c>
      <c r="AJ120" s="698" t="s">
        <v>1320</v>
      </c>
      <c r="AK120" s="699">
        <f t="shared" si="14"/>
        <v>62560</v>
      </c>
      <c r="AL120" s="685" t="s">
        <v>159</v>
      </c>
      <c r="AM120" s="699">
        <v>2500</v>
      </c>
      <c r="AN120" s="699">
        <v>1000</v>
      </c>
    </row>
    <row r="121" spans="1:40" x14ac:dyDescent="0.3">
      <c r="A121" s="669" t="s">
        <v>1321</v>
      </c>
      <c r="B121" s="686" t="e">
        <f t="shared" si="15"/>
        <v>#REF!</v>
      </c>
      <c r="C121" s="687">
        <f t="shared" si="15"/>
        <v>120</v>
      </c>
      <c r="D121" s="688">
        <v>100</v>
      </c>
      <c r="E121" s="688">
        <v>309</v>
      </c>
      <c r="F121" s="689"/>
      <c r="G121" s="689">
        <v>62.56</v>
      </c>
      <c r="H121" s="690">
        <v>1</v>
      </c>
      <c r="I121" s="691">
        <f t="shared" si="16"/>
        <v>0</v>
      </c>
      <c r="J121" s="692">
        <f t="shared" si="17"/>
        <v>0</v>
      </c>
      <c r="K121" s="692">
        <v>0</v>
      </c>
      <c r="L121" s="692">
        <f t="shared" si="18"/>
        <v>0</v>
      </c>
      <c r="M121" s="693">
        <v>1.3943700000000001</v>
      </c>
      <c r="N121" s="693">
        <v>1.21916</v>
      </c>
      <c r="O121" s="691">
        <f t="shared" si="9"/>
        <v>0</v>
      </c>
      <c r="P121" s="688" t="s">
        <v>1313</v>
      </c>
      <c r="Q121" s="694">
        <v>5000</v>
      </c>
      <c r="R121" s="688" t="s">
        <v>886</v>
      </c>
      <c r="S121" s="688" t="e">
        <f>+#REF!</f>
        <v>#REF!</v>
      </c>
      <c r="T121" s="688" t="s">
        <v>1313</v>
      </c>
      <c r="U121" s="694">
        <v>5000</v>
      </c>
      <c r="V121" s="688" t="s">
        <v>886</v>
      </c>
      <c r="W121" s="695">
        <v>35431</v>
      </c>
      <c r="X121" s="696" t="s">
        <v>1304</v>
      </c>
      <c r="Y121" s="688" t="s">
        <v>1322</v>
      </c>
      <c r="Z121" s="688" t="s">
        <v>1323</v>
      </c>
      <c r="AA121" s="688" t="s">
        <v>891</v>
      </c>
      <c r="AB121" s="688" t="s">
        <v>891</v>
      </c>
      <c r="AC121" s="688"/>
      <c r="AD121" s="688"/>
      <c r="AE121" s="689">
        <v>12014821.289999999</v>
      </c>
      <c r="AF121" s="693">
        <v>1.3160780000000001</v>
      </c>
      <c r="AG121" s="688" t="s">
        <v>891</v>
      </c>
      <c r="AH121" s="693">
        <v>1.3160780000000001</v>
      </c>
      <c r="AI121" s="697" t="s">
        <v>1304</v>
      </c>
      <c r="AJ121" s="698" t="s">
        <v>1324</v>
      </c>
      <c r="AK121" s="699">
        <f t="shared" si="14"/>
        <v>62560</v>
      </c>
      <c r="AL121" s="685" t="s">
        <v>159</v>
      </c>
      <c r="AM121" s="699">
        <v>2500</v>
      </c>
      <c r="AN121" s="699">
        <v>1000</v>
      </c>
    </row>
    <row r="122" spans="1:40" x14ac:dyDescent="0.3">
      <c r="A122" s="669" t="s">
        <v>1325</v>
      </c>
      <c r="B122" s="686" t="e">
        <f t="shared" ref="B122:C135" si="19">+B121+1</f>
        <v>#REF!</v>
      </c>
      <c r="C122" s="687">
        <f t="shared" si="19"/>
        <v>121</v>
      </c>
      <c r="D122" s="688">
        <v>100</v>
      </c>
      <c r="E122" s="688">
        <v>309</v>
      </c>
      <c r="F122" s="689"/>
      <c r="G122" s="689">
        <v>74.44</v>
      </c>
      <c r="H122" s="690">
        <v>0.96599999999999997</v>
      </c>
      <c r="I122" s="691">
        <f t="shared" si="16"/>
        <v>0</v>
      </c>
      <c r="J122" s="692">
        <f t="shared" si="17"/>
        <v>0</v>
      </c>
      <c r="K122" s="692">
        <v>0</v>
      </c>
      <c r="L122" s="692">
        <f t="shared" si="18"/>
        <v>0</v>
      </c>
      <c r="M122" s="693">
        <v>3.81</v>
      </c>
      <c r="N122" s="693">
        <v>0</v>
      </c>
      <c r="O122" s="691">
        <f t="shared" ref="O122:O178" si="20">ROUND(+I122*N122/(12*100),0)</f>
        <v>0</v>
      </c>
      <c r="P122" s="688" t="s">
        <v>1326</v>
      </c>
      <c r="Q122" s="694">
        <v>5000</v>
      </c>
      <c r="R122" s="688" t="s">
        <v>886</v>
      </c>
      <c r="S122" s="688" t="e">
        <f>+#REF!</f>
        <v>#REF!</v>
      </c>
      <c r="T122" s="688" t="s">
        <v>1326</v>
      </c>
      <c r="U122" s="694">
        <v>5000</v>
      </c>
      <c r="V122" s="688" t="s">
        <v>886</v>
      </c>
      <c r="W122" s="695">
        <v>34335</v>
      </c>
      <c r="X122" s="696" t="s">
        <v>760</v>
      </c>
      <c r="Y122" s="688" t="s">
        <v>1327</v>
      </c>
      <c r="Z122" s="688" t="s">
        <v>1328</v>
      </c>
      <c r="AA122" s="688" t="s">
        <v>891</v>
      </c>
      <c r="AB122" s="688" t="s">
        <v>891</v>
      </c>
      <c r="AC122" s="688"/>
      <c r="AD122" s="688"/>
      <c r="AE122" s="689">
        <v>13810330.32</v>
      </c>
      <c r="AF122" s="693">
        <v>1.86</v>
      </c>
      <c r="AG122" s="688" t="s">
        <v>891</v>
      </c>
      <c r="AH122" s="693">
        <v>1.86</v>
      </c>
      <c r="AI122" s="697" t="s">
        <v>760</v>
      </c>
      <c r="AJ122" s="698" t="s">
        <v>1329</v>
      </c>
      <c r="AK122" s="699">
        <f t="shared" si="14"/>
        <v>74440</v>
      </c>
      <c r="AL122" s="685" t="s">
        <v>159</v>
      </c>
      <c r="AM122" s="699">
        <v>2500</v>
      </c>
      <c r="AN122" s="699">
        <v>1000</v>
      </c>
    </row>
    <row r="123" spans="1:40" x14ac:dyDescent="0.3">
      <c r="A123" s="669" t="s">
        <v>1330</v>
      </c>
      <c r="B123" s="686" t="e">
        <f t="shared" si="19"/>
        <v>#REF!</v>
      </c>
      <c r="C123" s="687">
        <f t="shared" si="19"/>
        <v>122</v>
      </c>
      <c r="D123" s="688">
        <v>100</v>
      </c>
      <c r="E123" s="688">
        <v>309</v>
      </c>
      <c r="F123" s="689"/>
      <c r="G123" s="689">
        <v>74.319999999999993</v>
      </c>
      <c r="H123" s="690">
        <v>0.96599999999999997</v>
      </c>
      <c r="I123" s="691">
        <f t="shared" si="16"/>
        <v>0</v>
      </c>
      <c r="J123" s="692">
        <f t="shared" si="17"/>
        <v>0</v>
      </c>
      <c r="K123" s="692">
        <v>0</v>
      </c>
      <c r="L123" s="692">
        <f t="shared" si="18"/>
        <v>0</v>
      </c>
      <c r="M123" s="693">
        <v>3.81</v>
      </c>
      <c r="N123" s="693">
        <v>0</v>
      </c>
      <c r="O123" s="691">
        <f t="shared" si="20"/>
        <v>0</v>
      </c>
      <c r="P123" s="688" t="s">
        <v>1326</v>
      </c>
      <c r="Q123" s="694">
        <v>5000</v>
      </c>
      <c r="R123" s="688" t="s">
        <v>886</v>
      </c>
      <c r="S123" s="688" t="e">
        <f>+#REF!</f>
        <v>#REF!</v>
      </c>
      <c r="T123" s="688" t="s">
        <v>1326</v>
      </c>
      <c r="U123" s="694">
        <v>5000</v>
      </c>
      <c r="V123" s="688" t="s">
        <v>886</v>
      </c>
      <c r="W123" s="695">
        <v>36739</v>
      </c>
      <c r="X123" s="696" t="s">
        <v>760</v>
      </c>
      <c r="Y123" s="688" t="s">
        <v>1331</v>
      </c>
      <c r="Z123" s="688" t="s">
        <v>1332</v>
      </c>
      <c r="AA123" s="688" t="s">
        <v>891</v>
      </c>
      <c r="AB123" s="688" t="s">
        <v>891</v>
      </c>
      <c r="AC123" s="688"/>
      <c r="AD123" s="688"/>
      <c r="AE123" s="689">
        <v>13788067.560000001</v>
      </c>
      <c r="AF123" s="693">
        <v>1.86</v>
      </c>
      <c r="AG123" s="688" t="s">
        <v>891</v>
      </c>
      <c r="AH123" s="693">
        <v>1.86</v>
      </c>
      <c r="AI123" s="697" t="s">
        <v>760</v>
      </c>
      <c r="AJ123" s="698" t="s">
        <v>1333</v>
      </c>
      <c r="AK123" s="699">
        <f t="shared" si="14"/>
        <v>74320</v>
      </c>
      <c r="AL123" s="685" t="s">
        <v>159</v>
      </c>
      <c r="AM123" s="699">
        <v>2500</v>
      </c>
      <c r="AN123" s="699">
        <v>1000</v>
      </c>
    </row>
    <row r="124" spans="1:40" x14ac:dyDescent="0.3">
      <c r="B124" s="686"/>
      <c r="C124" s="687">
        <v>123</v>
      </c>
      <c r="D124" s="688"/>
      <c r="E124" s="688"/>
      <c r="F124" s="689"/>
      <c r="G124" s="689">
        <v>83.84</v>
      </c>
      <c r="H124" s="690"/>
      <c r="I124" s="691"/>
      <c r="J124" s="692"/>
      <c r="K124" s="692"/>
      <c r="L124" s="692"/>
      <c r="M124" s="693"/>
      <c r="N124" s="693"/>
      <c r="O124" s="691"/>
      <c r="P124" s="688" t="s">
        <v>1326</v>
      </c>
      <c r="Q124" s="694"/>
      <c r="R124" s="688"/>
      <c r="S124" s="688" t="e">
        <f>+#REF!</f>
        <v>#REF!</v>
      </c>
      <c r="T124" s="688"/>
      <c r="U124" s="694"/>
      <c r="V124" s="688"/>
      <c r="W124" s="695"/>
      <c r="X124" s="696"/>
      <c r="Y124" s="688"/>
      <c r="Z124" s="688"/>
      <c r="AA124" s="688"/>
      <c r="AB124" s="688"/>
      <c r="AC124" s="688"/>
      <c r="AD124" s="688"/>
      <c r="AE124" s="689"/>
      <c r="AF124" s="693"/>
      <c r="AG124" s="688"/>
      <c r="AH124" s="693"/>
      <c r="AI124" s="697">
        <v>1982</v>
      </c>
      <c r="AJ124" s="698" t="s">
        <v>1334</v>
      </c>
      <c r="AK124" s="699">
        <f t="shared" si="14"/>
        <v>83840</v>
      </c>
      <c r="AL124" s="685" t="s">
        <v>159</v>
      </c>
      <c r="AM124" s="699">
        <v>2500</v>
      </c>
      <c r="AN124" s="699">
        <v>1000</v>
      </c>
    </row>
    <row r="125" spans="1:40" x14ac:dyDescent="0.3">
      <c r="A125" s="669" t="s">
        <v>1335</v>
      </c>
      <c r="B125" s="686" t="e">
        <f>+B123+1</f>
        <v>#REF!</v>
      </c>
      <c r="C125" s="687">
        <v>124</v>
      </c>
      <c r="D125" s="688">
        <v>100</v>
      </c>
      <c r="E125" s="688">
        <v>297</v>
      </c>
      <c r="F125" s="689"/>
      <c r="G125" s="689">
        <v>68.209999999999994</v>
      </c>
      <c r="H125" s="690">
        <v>1.006</v>
      </c>
      <c r="I125" s="691">
        <f t="shared" si="16"/>
        <v>0</v>
      </c>
      <c r="J125" s="692">
        <f t="shared" si="17"/>
        <v>0</v>
      </c>
      <c r="K125" s="692">
        <v>0</v>
      </c>
      <c r="L125" s="692">
        <f t="shared" si="18"/>
        <v>0</v>
      </c>
      <c r="M125" s="693">
        <v>1.3943700000000001</v>
      </c>
      <c r="N125" s="693">
        <v>1.21916</v>
      </c>
      <c r="O125" s="691">
        <f t="shared" si="20"/>
        <v>0</v>
      </c>
      <c r="P125" s="688" t="s">
        <v>1336</v>
      </c>
      <c r="Q125" s="694">
        <v>5000</v>
      </c>
      <c r="R125" s="688" t="s">
        <v>886</v>
      </c>
      <c r="S125" s="688" t="e">
        <f>+#REF!</f>
        <v>#REF!</v>
      </c>
      <c r="T125" s="688" t="s">
        <v>1336</v>
      </c>
      <c r="U125" s="694">
        <v>5000</v>
      </c>
      <c r="V125" s="688" t="s">
        <v>886</v>
      </c>
      <c r="W125" s="695">
        <v>34335</v>
      </c>
      <c r="X125" s="696" t="s">
        <v>1337</v>
      </c>
      <c r="Y125" s="688" t="s">
        <v>1338</v>
      </c>
      <c r="Z125" s="688" t="s">
        <v>1339</v>
      </c>
      <c r="AA125" s="688" t="s">
        <v>891</v>
      </c>
      <c r="AB125" s="688" t="s">
        <v>891</v>
      </c>
      <c r="AC125" s="688"/>
      <c r="AD125" s="688"/>
      <c r="AE125" s="689">
        <v>12666731.810000001</v>
      </c>
      <c r="AF125" s="693">
        <v>2.2235330000000002</v>
      </c>
      <c r="AG125" s="688" t="s">
        <v>891</v>
      </c>
      <c r="AH125" s="693">
        <v>2.2235330000000002</v>
      </c>
      <c r="AI125" s="697" t="s">
        <v>1337</v>
      </c>
      <c r="AJ125" s="698" t="s">
        <v>1340</v>
      </c>
      <c r="AK125" s="699">
        <f>G125*1000</f>
        <v>68210</v>
      </c>
      <c r="AL125" s="685" t="s">
        <v>159</v>
      </c>
      <c r="AM125" s="699">
        <v>2500</v>
      </c>
      <c r="AN125" s="699">
        <v>1000</v>
      </c>
    </row>
    <row r="126" spans="1:40" x14ac:dyDescent="0.3">
      <c r="A126" s="669" t="s">
        <v>1341</v>
      </c>
      <c r="B126" s="686" t="e">
        <f t="shared" si="19"/>
        <v>#REF!</v>
      </c>
      <c r="C126" s="687">
        <f t="shared" si="19"/>
        <v>125</v>
      </c>
      <c r="D126" s="688">
        <v>100</v>
      </c>
      <c r="E126" s="688">
        <v>297</v>
      </c>
      <c r="F126" s="689"/>
      <c r="G126" s="689">
        <v>67.67</v>
      </c>
      <c r="H126" s="690">
        <v>0.98099999999999998</v>
      </c>
      <c r="I126" s="691">
        <f t="shared" si="16"/>
        <v>0</v>
      </c>
      <c r="J126" s="692">
        <f t="shared" si="17"/>
        <v>0</v>
      </c>
      <c r="K126" s="692">
        <v>0</v>
      </c>
      <c r="L126" s="692">
        <f t="shared" si="18"/>
        <v>0</v>
      </c>
      <c r="M126" s="693">
        <v>3.81</v>
      </c>
      <c r="N126" s="693">
        <v>0</v>
      </c>
      <c r="O126" s="691">
        <f t="shared" si="20"/>
        <v>0</v>
      </c>
      <c r="P126" s="688" t="s">
        <v>1336</v>
      </c>
      <c r="Q126" s="694">
        <v>5000</v>
      </c>
      <c r="R126" s="688" t="s">
        <v>886</v>
      </c>
      <c r="S126" s="688" t="e">
        <f>+#REF!</f>
        <v>#REF!</v>
      </c>
      <c r="T126" s="688" t="s">
        <v>1336</v>
      </c>
      <c r="U126" s="694">
        <v>5000</v>
      </c>
      <c r="V126" s="688" t="s">
        <v>886</v>
      </c>
      <c r="W126" s="695">
        <v>34335</v>
      </c>
      <c r="X126" s="696" t="s">
        <v>1337</v>
      </c>
      <c r="Y126" s="688" t="s">
        <v>1342</v>
      </c>
      <c r="Z126" s="688" t="s">
        <v>1343</v>
      </c>
      <c r="AA126" s="688" t="s">
        <v>891</v>
      </c>
      <c r="AB126" s="688" t="s">
        <v>891</v>
      </c>
      <c r="AC126" s="688"/>
      <c r="AD126" s="688"/>
      <c r="AE126" s="689">
        <v>12254165.15</v>
      </c>
      <c r="AF126" s="693">
        <v>2.1511100000000001</v>
      </c>
      <c r="AG126" s="688" t="s">
        <v>891</v>
      </c>
      <c r="AH126" s="693">
        <v>2.1511100000000001</v>
      </c>
      <c r="AI126" s="697" t="s">
        <v>1337</v>
      </c>
      <c r="AJ126" s="698" t="s">
        <v>1344</v>
      </c>
      <c r="AK126" s="699">
        <f t="shared" ref="AK126:AK144" si="21">G126*1100</f>
        <v>74437</v>
      </c>
      <c r="AL126" s="685" t="s">
        <v>159</v>
      </c>
      <c r="AM126" s="699">
        <v>2500</v>
      </c>
      <c r="AN126" s="699">
        <v>1000</v>
      </c>
    </row>
    <row r="127" spans="1:40" x14ac:dyDescent="0.3">
      <c r="A127" s="669" t="s">
        <v>1345</v>
      </c>
      <c r="B127" s="686" t="e">
        <f t="shared" si="19"/>
        <v>#REF!</v>
      </c>
      <c r="C127" s="687">
        <f t="shared" si="19"/>
        <v>126</v>
      </c>
      <c r="D127" s="688">
        <v>100</v>
      </c>
      <c r="E127" s="688">
        <v>292</v>
      </c>
      <c r="F127" s="689"/>
      <c r="G127" s="689">
        <v>36.770000000000003</v>
      </c>
      <c r="H127" s="690">
        <v>1.0569999999999999</v>
      </c>
      <c r="I127" s="691">
        <f t="shared" si="16"/>
        <v>0</v>
      </c>
      <c r="J127" s="692">
        <f t="shared" si="17"/>
        <v>0</v>
      </c>
      <c r="K127" s="692">
        <v>0</v>
      </c>
      <c r="L127" s="692">
        <f t="shared" si="18"/>
        <v>0</v>
      </c>
      <c r="M127" s="693">
        <v>5.08</v>
      </c>
      <c r="N127" s="693">
        <v>0</v>
      </c>
      <c r="O127" s="691">
        <f t="shared" si="20"/>
        <v>0</v>
      </c>
      <c r="P127" s="688" t="s">
        <v>1336</v>
      </c>
      <c r="Q127" s="694">
        <v>5000</v>
      </c>
      <c r="R127" s="688" t="s">
        <v>886</v>
      </c>
      <c r="S127" s="688" t="e">
        <f>+#REF!</f>
        <v>#REF!</v>
      </c>
      <c r="T127" s="688" t="s">
        <v>1336</v>
      </c>
      <c r="U127" s="694">
        <v>5000</v>
      </c>
      <c r="V127" s="688" t="s">
        <v>886</v>
      </c>
      <c r="W127" s="695">
        <v>36982</v>
      </c>
      <c r="X127" s="696" t="s">
        <v>1337</v>
      </c>
      <c r="Y127" s="688" t="s">
        <v>1346</v>
      </c>
      <c r="Z127" s="688" t="s">
        <v>1347</v>
      </c>
      <c r="AA127" s="688" t="s">
        <v>891</v>
      </c>
      <c r="AB127" s="688" t="s">
        <v>891</v>
      </c>
      <c r="AC127" s="688"/>
      <c r="AD127" s="688"/>
      <c r="AE127" s="689">
        <v>7053644.4500000002</v>
      </c>
      <c r="AF127" s="693">
        <v>1.238205</v>
      </c>
      <c r="AG127" s="688" t="s">
        <v>891</v>
      </c>
      <c r="AH127" s="693">
        <v>1.238205</v>
      </c>
      <c r="AI127" s="697" t="s">
        <v>1337</v>
      </c>
      <c r="AJ127" s="698" t="s">
        <v>1348</v>
      </c>
      <c r="AK127" s="699">
        <f t="shared" si="21"/>
        <v>40447</v>
      </c>
      <c r="AL127" s="685" t="s">
        <v>159</v>
      </c>
      <c r="AM127" s="699">
        <v>2500</v>
      </c>
      <c r="AN127" s="699">
        <v>1000</v>
      </c>
    </row>
    <row r="128" spans="1:40" x14ac:dyDescent="0.3">
      <c r="A128" s="669" t="s">
        <v>1349</v>
      </c>
      <c r="B128" s="686" t="e">
        <f t="shared" si="19"/>
        <v>#REF!</v>
      </c>
      <c r="C128" s="687">
        <f t="shared" si="19"/>
        <v>127</v>
      </c>
      <c r="D128" s="688">
        <v>100</v>
      </c>
      <c r="E128" s="688">
        <v>297</v>
      </c>
      <c r="F128" s="689"/>
      <c r="G128" s="689">
        <v>47.19</v>
      </c>
      <c r="H128" s="690">
        <v>1.024</v>
      </c>
      <c r="I128" s="691">
        <f t="shared" si="16"/>
        <v>0</v>
      </c>
      <c r="J128" s="692">
        <f t="shared" si="17"/>
        <v>0</v>
      </c>
      <c r="K128" s="692">
        <v>0</v>
      </c>
      <c r="L128" s="692">
        <f t="shared" si="18"/>
        <v>0</v>
      </c>
      <c r="M128" s="693">
        <v>3.81</v>
      </c>
      <c r="N128" s="693">
        <v>0</v>
      </c>
      <c r="O128" s="691">
        <f t="shared" si="20"/>
        <v>0</v>
      </c>
      <c r="P128" s="688" t="s">
        <v>1336</v>
      </c>
      <c r="Q128" s="694">
        <v>5000</v>
      </c>
      <c r="R128" s="688" t="s">
        <v>886</v>
      </c>
      <c r="S128" s="688" t="e">
        <f>+#REF!</f>
        <v>#REF!</v>
      </c>
      <c r="T128" s="688" t="s">
        <v>1336</v>
      </c>
      <c r="U128" s="694">
        <v>5000</v>
      </c>
      <c r="V128" s="688" t="s">
        <v>886</v>
      </c>
      <c r="W128" s="695">
        <v>37469</v>
      </c>
      <c r="X128" s="696" t="s">
        <v>1337</v>
      </c>
      <c r="Y128" s="688" t="s">
        <v>1350</v>
      </c>
      <c r="Z128" s="688" t="s">
        <v>1351</v>
      </c>
      <c r="AA128" s="688" t="s">
        <v>891</v>
      </c>
      <c r="AB128" s="688" t="s">
        <v>891</v>
      </c>
      <c r="AC128" s="688"/>
      <c r="AD128" s="688"/>
      <c r="AE128" s="689">
        <v>8920074.4499999993</v>
      </c>
      <c r="AF128" s="693">
        <v>1.5658399999999999</v>
      </c>
      <c r="AG128" s="688" t="s">
        <v>891</v>
      </c>
      <c r="AH128" s="693">
        <v>1.5658399999999999</v>
      </c>
      <c r="AI128" s="697" t="s">
        <v>1337</v>
      </c>
      <c r="AJ128" s="698" t="s">
        <v>1352</v>
      </c>
      <c r="AK128" s="699">
        <f t="shared" si="21"/>
        <v>51909</v>
      </c>
      <c r="AL128" s="685" t="s">
        <v>159</v>
      </c>
      <c r="AM128" s="699">
        <v>2500</v>
      </c>
      <c r="AN128" s="699">
        <v>1000</v>
      </c>
    </row>
    <row r="129" spans="1:40" x14ac:dyDescent="0.3">
      <c r="A129" s="669" t="s">
        <v>1353</v>
      </c>
      <c r="B129" s="686" t="e">
        <f t="shared" si="19"/>
        <v>#REF!</v>
      </c>
      <c r="C129" s="687">
        <f t="shared" si="19"/>
        <v>128</v>
      </c>
      <c r="D129" s="688">
        <v>100</v>
      </c>
      <c r="E129" s="688">
        <v>297</v>
      </c>
      <c r="F129" s="689"/>
      <c r="G129" s="689">
        <v>46.98</v>
      </c>
      <c r="H129" s="690">
        <v>1.0569999999999999</v>
      </c>
      <c r="I129" s="691">
        <f t="shared" si="16"/>
        <v>0</v>
      </c>
      <c r="J129" s="692">
        <f t="shared" si="17"/>
        <v>0</v>
      </c>
      <c r="K129" s="692">
        <v>0</v>
      </c>
      <c r="L129" s="692">
        <f t="shared" si="18"/>
        <v>0</v>
      </c>
      <c r="M129" s="693">
        <v>3.81</v>
      </c>
      <c r="N129" s="693">
        <v>0</v>
      </c>
      <c r="O129" s="691">
        <f t="shared" si="20"/>
        <v>0</v>
      </c>
      <c r="P129" s="688" t="s">
        <v>1336</v>
      </c>
      <c r="Q129" s="694">
        <v>5000</v>
      </c>
      <c r="R129" s="688" t="s">
        <v>886</v>
      </c>
      <c r="S129" s="688" t="e">
        <f>+#REF!</f>
        <v>#REF!</v>
      </c>
      <c r="T129" s="688" t="s">
        <v>1336</v>
      </c>
      <c r="U129" s="694">
        <v>5000</v>
      </c>
      <c r="V129" s="688" t="s">
        <v>886</v>
      </c>
      <c r="W129" s="695">
        <v>34507</v>
      </c>
      <c r="X129" s="696" t="s">
        <v>1337</v>
      </c>
      <c r="Y129" s="688" t="s">
        <v>1354</v>
      </c>
      <c r="Z129" s="688" t="s">
        <v>1355</v>
      </c>
      <c r="AA129" s="688" t="s">
        <v>891</v>
      </c>
      <c r="AB129" s="688" t="s">
        <v>891</v>
      </c>
      <c r="AC129" s="688"/>
      <c r="AD129" s="688"/>
      <c r="AE129" s="689">
        <v>9166563.3699999992</v>
      </c>
      <c r="AF129" s="693">
        <v>1.6091089999999999</v>
      </c>
      <c r="AG129" s="688" t="s">
        <v>891</v>
      </c>
      <c r="AH129" s="693">
        <v>1.6091089999999999</v>
      </c>
      <c r="AI129" s="697" t="s">
        <v>1337</v>
      </c>
      <c r="AJ129" s="698" t="s">
        <v>1356</v>
      </c>
      <c r="AK129" s="699">
        <f t="shared" si="21"/>
        <v>51678</v>
      </c>
      <c r="AL129" s="685" t="s">
        <v>159</v>
      </c>
      <c r="AM129" s="699">
        <v>2500</v>
      </c>
      <c r="AN129" s="699">
        <v>1000</v>
      </c>
    </row>
    <row r="130" spans="1:40" x14ac:dyDescent="0.3">
      <c r="B130" s="686" t="e">
        <f t="shared" si="19"/>
        <v>#REF!</v>
      </c>
      <c r="C130" s="687">
        <f t="shared" si="19"/>
        <v>129</v>
      </c>
      <c r="D130" s="688">
        <v>100</v>
      </c>
      <c r="E130" s="688">
        <v>295</v>
      </c>
      <c r="F130" s="689"/>
      <c r="G130" s="689">
        <v>116.48</v>
      </c>
      <c r="H130" s="690">
        <v>0.95499999999999996</v>
      </c>
      <c r="I130" s="691">
        <f t="shared" si="16"/>
        <v>0</v>
      </c>
      <c r="J130" s="692">
        <f t="shared" si="17"/>
        <v>0</v>
      </c>
      <c r="K130" s="692">
        <v>0</v>
      </c>
      <c r="L130" s="692">
        <f t="shared" si="18"/>
        <v>0</v>
      </c>
      <c r="M130" s="693">
        <v>5.08</v>
      </c>
      <c r="N130" s="693">
        <v>0</v>
      </c>
      <c r="O130" s="691">
        <f t="shared" si="20"/>
        <v>0</v>
      </c>
      <c r="P130" s="688" t="s">
        <v>1357</v>
      </c>
      <c r="Q130" s="694">
        <v>5000</v>
      </c>
      <c r="R130" s="688" t="s">
        <v>886</v>
      </c>
      <c r="S130" s="688" t="e">
        <f>+#REF!</f>
        <v>#REF!</v>
      </c>
      <c r="T130" s="688" t="s">
        <v>1358</v>
      </c>
      <c r="U130" s="694">
        <v>2000</v>
      </c>
      <c r="V130" s="688" t="s">
        <v>1359</v>
      </c>
      <c r="W130" s="695">
        <v>37926</v>
      </c>
      <c r="X130" s="696" t="s">
        <v>1360</v>
      </c>
      <c r="Y130" s="688" t="s">
        <v>1361</v>
      </c>
      <c r="Z130" s="688" t="s">
        <v>1362</v>
      </c>
      <c r="AA130" s="688" t="s">
        <v>891</v>
      </c>
      <c r="AB130" s="688" t="s">
        <v>891</v>
      </c>
      <c r="AC130" s="688"/>
      <c r="AD130" s="688"/>
      <c r="AE130" s="689">
        <v>20395710.809999999</v>
      </c>
      <c r="AF130" s="693">
        <v>0</v>
      </c>
      <c r="AG130" s="688" t="s">
        <v>891</v>
      </c>
      <c r="AH130" s="693">
        <v>0</v>
      </c>
      <c r="AI130" s="697" t="s">
        <v>1360</v>
      </c>
      <c r="AJ130" s="698" t="s">
        <v>1363</v>
      </c>
      <c r="AK130" s="699">
        <f t="shared" si="21"/>
        <v>128128</v>
      </c>
      <c r="AL130" s="685" t="s">
        <v>159</v>
      </c>
      <c r="AM130" s="699">
        <v>2500</v>
      </c>
      <c r="AN130" s="699">
        <v>1000</v>
      </c>
    </row>
    <row r="131" spans="1:40" x14ac:dyDescent="0.3">
      <c r="B131" s="686"/>
      <c r="C131" s="687">
        <v>130</v>
      </c>
      <c r="D131" s="688"/>
      <c r="E131" s="688"/>
      <c r="F131" s="689"/>
      <c r="G131" s="689">
        <v>61.74</v>
      </c>
      <c r="H131" s="690"/>
      <c r="I131" s="691"/>
      <c r="J131" s="692"/>
      <c r="K131" s="692"/>
      <c r="L131" s="692"/>
      <c r="M131" s="693"/>
      <c r="N131" s="693"/>
      <c r="O131" s="691"/>
      <c r="P131" s="688" t="s">
        <v>1357</v>
      </c>
      <c r="Q131" s="694"/>
      <c r="R131" s="688"/>
      <c r="S131" s="688" t="e">
        <f>+#REF!</f>
        <v>#REF!</v>
      </c>
      <c r="T131" s="688"/>
      <c r="U131" s="694"/>
      <c r="V131" s="688"/>
      <c r="W131" s="695"/>
      <c r="X131" s="696"/>
      <c r="Y131" s="688"/>
      <c r="Z131" s="688"/>
      <c r="AA131" s="688"/>
      <c r="AB131" s="688"/>
      <c r="AC131" s="688"/>
      <c r="AD131" s="688"/>
      <c r="AE131" s="689"/>
      <c r="AF131" s="693"/>
      <c r="AG131" s="688"/>
      <c r="AH131" s="693"/>
      <c r="AI131" s="697">
        <v>1991</v>
      </c>
      <c r="AJ131" s="698" t="s">
        <v>1364</v>
      </c>
      <c r="AK131" s="699">
        <f t="shared" si="21"/>
        <v>67914</v>
      </c>
      <c r="AL131" s="685" t="s">
        <v>159</v>
      </c>
      <c r="AM131" s="699">
        <v>2500</v>
      </c>
      <c r="AN131" s="699">
        <v>1000</v>
      </c>
    </row>
    <row r="132" spans="1:40" x14ac:dyDescent="0.3">
      <c r="A132" s="669" t="s">
        <v>1365</v>
      </c>
      <c r="B132" s="686" t="e">
        <f>+B130+1</f>
        <v>#REF!</v>
      </c>
      <c r="C132" s="687">
        <v>131</v>
      </c>
      <c r="D132" s="688">
        <v>100</v>
      </c>
      <c r="E132" s="688">
        <v>295</v>
      </c>
      <c r="F132" s="689"/>
      <c r="G132" s="689">
        <v>66.92</v>
      </c>
      <c r="H132" s="690">
        <v>1</v>
      </c>
      <c r="I132" s="691">
        <f t="shared" si="16"/>
        <v>0</v>
      </c>
      <c r="J132" s="692">
        <f t="shared" si="17"/>
        <v>0</v>
      </c>
      <c r="K132" s="692">
        <v>0</v>
      </c>
      <c r="L132" s="692">
        <f t="shared" si="18"/>
        <v>0</v>
      </c>
      <c r="M132" s="693">
        <v>1.3943700000000001</v>
      </c>
      <c r="N132" s="693">
        <v>1.21916</v>
      </c>
      <c r="O132" s="691">
        <f t="shared" si="20"/>
        <v>0</v>
      </c>
      <c r="P132" s="688" t="s">
        <v>1366</v>
      </c>
      <c r="Q132" s="694">
        <v>5000</v>
      </c>
      <c r="R132" s="688" t="s">
        <v>886</v>
      </c>
      <c r="S132" s="688" t="e">
        <f>+#REF!</f>
        <v>#REF!</v>
      </c>
      <c r="T132" s="688" t="s">
        <v>1366</v>
      </c>
      <c r="U132" s="694">
        <v>5000</v>
      </c>
      <c r="V132" s="688" t="s">
        <v>886</v>
      </c>
      <c r="W132" s="695">
        <v>35626</v>
      </c>
      <c r="X132" s="696" t="s">
        <v>1367</v>
      </c>
      <c r="Y132" s="688" t="s">
        <v>1368</v>
      </c>
      <c r="Z132" s="688" t="s">
        <v>1369</v>
      </c>
      <c r="AA132" s="688" t="s">
        <v>891</v>
      </c>
      <c r="AB132" s="688" t="s">
        <v>891</v>
      </c>
      <c r="AC132" s="688"/>
      <c r="AD132" s="688"/>
      <c r="AE132" s="689">
        <v>12269872.34</v>
      </c>
      <c r="AF132" s="693">
        <v>4.57</v>
      </c>
      <c r="AG132" s="688" t="s">
        <v>891</v>
      </c>
      <c r="AH132" s="693">
        <v>48.61</v>
      </c>
      <c r="AI132" s="697" t="s">
        <v>1367</v>
      </c>
      <c r="AJ132" s="698" t="s">
        <v>1370</v>
      </c>
      <c r="AK132" s="699">
        <f t="shared" si="21"/>
        <v>73612</v>
      </c>
      <c r="AL132" s="685" t="s">
        <v>159</v>
      </c>
      <c r="AM132" s="699">
        <v>2500</v>
      </c>
      <c r="AN132" s="699">
        <v>1000</v>
      </c>
    </row>
    <row r="133" spans="1:40" x14ac:dyDescent="0.3">
      <c r="A133" s="669" t="s">
        <v>1371</v>
      </c>
      <c r="B133" s="686" t="e">
        <f t="shared" si="19"/>
        <v>#REF!</v>
      </c>
      <c r="C133" s="687">
        <f t="shared" si="19"/>
        <v>132</v>
      </c>
      <c r="D133" s="688">
        <v>100</v>
      </c>
      <c r="E133" s="688">
        <v>295</v>
      </c>
      <c r="F133" s="689"/>
      <c r="G133" s="689">
        <v>48.86</v>
      </c>
      <c r="H133" s="690">
        <v>1.024</v>
      </c>
      <c r="I133" s="691">
        <f t="shared" si="16"/>
        <v>0</v>
      </c>
      <c r="J133" s="692">
        <f t="shared" si="17"/>
        <v>0</v>
      </c>
      <c r="K133" s="692">
        <v>0</v>
      </c>
      <c r="L133" s="692">
        <f t="shared" si="18"/>
        <v>0</v>
      </c>
      <c r="M133" s="693">
        <v>1.91</v>
      </c>
      <c r="N133" s="693">
        <v>1.67</v>
      </c>
      <c r="O133" s="691">
        <f t="shared" si="20"/>
        <v>0</v>
      </c>
      <c r="P133" s="688" t="s">
        <v>1366</v>
      </c>
      <c r="Q133" s="694">
        <v>5000</v>
      </c>
      <c r="R133" s="688" t="s">
        <v>886</v>
      </c>
      <c r="S133" s="688" t="e">
        <f>+#REF!</f>
        <v>#REF!</v>
      </c>
      <c r="T133" s="688" t="s">
        <v>1366</v>
      </c>
      <c r="U133" s="694">
        <v>5000</v>
      </c>
      <c r="V133" s="688" t="s">
        <v>886</v>
      </c>
      <c r="W133" s="695">
        <v>34318</v>
      </c>
      <c r="X133" s="696" t="s">
        <v>1367</v>
      </c>
      <c r="Y133" s="688" t="s">
        <v>1372</v>
      </c>
      <c r="Z133" s="688" t="s">
        <v>1373</v>
      </c>
      <c r="AA133" s="688" t="s">
        <v>891</v>
      </c>
      <c r="AB133" s="688" t="s">
        <v>891</v>
      </c>
      <c r="AC133" s="688"/>
      <c r="AD133" s="688"/>
      <c r="AE133" s="689">
        <v>9173552.0899999999</v>
      </c>
      <c r="AF133" s="693">
        <v>3.41</v>
      </c>
      <c r="AG133" s="688" t="s">
        <v>891</v>
      </c>
      <c r="AH133" s="693">
        <v>36.340000000000003</v>
      </c>
      <c r="AI133" s="697" t="s">
        <v>1367</v>
      </c>
      <c r="AJ133" s="698" t="s">
        <v>1374</v>
      </c>
      <c r="AK133" s="699">
        <f t="shared" si="21"/>
        <v>53746</v>
      </c>
      <c r="AL133" s="685" t="s">
        <v>159</v>
      </c>
      <c r="AM133" s="699">
        <v>2500</v>
      </c>
      <c r="AN133" s="699">
        <v>1000</v>
      </c>
    </row>
    <row r="134" spans="1:40" x14ac:dyDescent="0.3">
      <c r="A134" s="669" t="s">
        <v>1375</v>
      </c>
      <c r="B134" s="686" t="e">
        <f t="shared" si="19"/>
        <v>#REF!</v>
      </c>
      <c r="C134" s="687">
        <f t="shared" si="19"/>
        <v>133</v>
      </c>
      <c r="D134" s="688">
        <v>100</v>
      </c>
      <c r="E134" s="688">
        <v>295</v>
      </c>
      <c r="F134" s="689"/>
      <c r="G134" s="689">
        <v>62.87</v>
      </c>
      <c r="H134" s="690">
        <v>1</v>
      </c>
      <c r="I134" s="691">
        <f t="shared" si="16"/>
        <v>0</v>
      </c>
      <c r="J134" s="692">
        <f t="shared" si="17"/>
        <v>0</v>
      </c>
      <c r="K134" s="692"/>
      <c r="L134" s="692">
        <f t="shared" si="18"/>
        <v>0</v>
      </c>
      <c r="M134" s="693">
        <v>1.91</v>
      </c>
      <c r="N134" s="693">
        <v>1.67</v>
      </c>
      <c r="O134" s="691">
        <f t="shared" si="20"/>
        <v>0</v>
      </c>
      <c r="P134" s="688" t="s">
        <v>1366</v>
      </c>
      <c r="Q134" s="694">
        <v>5000</v>
      </c>
      <c r="R134" s="688" t="s">
        <v>886</v>
      </c>
      <c r="S134" s="688" t="e">
        <f>+#REF!</f>
        <v>#REF!</v>
      </c>
      <c r="T134" s="688" t="s">
        <v>1366</v>
      </c>
      <c r="U134" s="694">
        <v>5000</v>
      </c>
      <c r="V134" s="688" t="s">
        <v>886</v>
      </c>
      <c r="W134" s="695">
        <v>34310</v>
      </c>
      <c r="X134" s="696" t="s">
        <v>1367</v>
      </c>
      <c r="Y134" s="688" t="s">
        <v>1376</v>
      </c>
      <c r="Z134" s="688" t="s">
        <v>1377</v>
      </c>
      <c r="AA134" s="688" t="s">
        <v>891</v>
      </c>
      <c r="AB134" s="688" t="s">
        <v>891</v>
      </c>
      <c r="AC134" s="688"/>
      <c r="AD134" s="688"/>
      <c r="AE134" s="689">
        <v>11527299.369999999</v>
      </c>
      <c r="AF134" s="693">
        <v>4.29</v>
      </c>
      <c r="AG134" s="688" t="s">
        <v>891</v>
      </c>
      <c r="AH134" s="693">
        <v>45.66</v>
      </c>
      <c r="AI134" s="697" t="s">
        <v>1367</v>
      </c>
      <c r="AJ134" s="698" t="s">
        <v>1378</v>
      </c>
      <c r="AK134" s="699">
        <f t="shared" si="21"/>
        <v>69157</v>
      </c>
      <c r="AL134" s="685" t="s">
        <v>159</v>
      </c>
      <c r="AM134" s="699">
        <v>2500</v>
      </c>
      <c r="AN134" s="699">
        <v>1000</v>
      </c>
    </row>
    <row r="135" spans="1:40" x14ac:dyDescent="0.3">
      <c r="A135" s="669" t="s">
        <v>1379</v>
      </c>
      <c r="B135" s="686" t="e">
        <f t="shared" si="19"/>
        <v>#REF!</v>
      </c>
      <c r="C135" s="687">
        <f t="shared" si="19"/>
        <v>134</v>
      </c>
      <c r="D135" s="688">
        <v>100</v>
      </c>
      <c r="E135" s="688">
        <v>295</v>
      </c>
      <c r="F135" s="689"/>
      <c r="G135" s="689">
        <v>66.209999999999994</v>
      </c>
      <c r="H135" s="690">
        <v>1</v>
      </c>
      <c r="I135" s="691">
        <f t="shared" si="16"/>
        <v>0</v>
      </c>
      <c r="J135" s="692">
        <f t="shared" si="17"/>
        <v>0</v>
      </c>
      <c r="K135" s="692">
        <v>0</v>
      </c>
      <c r="L135" s="692">
        <f t="shared" si="18"/>
        <v>0</v>
      </c>
      <c r="M135" s="693">
        <v>1.3943700000000001</v>
      </c>
      <c r="N135" s="693">
        <v>1.21916</v>
      </c>
      <c r="O135" s="691">
        <f t="shared" si="20"/>
        <v>0</v>
      </c>
      <c r="P135" s="688" t="s">
        <v>1366</v>
      </c>
      <c r="Q135" s="694">
        <v>5000</v>
      </c>
      <c r="R135" s="688" t="s">
        <v>886</v>
      </c>
      <c r="S135" s="688" t="e">
        <f>+#REF!</f>
        <v>#REF!</v>
      </c>
      <c r="T135" s="688" t="s">
        <v>1366</v>
      </c>
      <c r="U135" s="694">
        <v>5000</v>
      </c>
      <c r="V135" s="688" t="s">
        <v>886</v>
      </c>
      <c r="W135" s="695">
        <v>36510</v>
      </c>
      <c r="X135" s="696" t="s">
        <v>1367</v>
      </c>
      <c r="Y135" s="688" t="s">
        <v>1380</v>
      </c>
      <c r="Z135" s="688" t="s">
        <v>1381</v>
      </c>
      <c r="AA135" s="688" t="s">
        <v>891</v>
      </c>
      <c r="AB135" s="688" t="s">
        <v>891</v>
      </c>
      <c r="AC135" s="688"/>
      <c r="AD135" s="688"/>
      <c r="AE135" s="689">
        <v>12139692.880000001</v>
      </c>
      <c r="AF135" s="693">
        <v>4.5199999999999996</v>
      </c>
      <c r="AG135" s="688" t="s">
        <v>891</v>
      </c>
      <c r="AH135" s="693">
        <v>48.09</v>
      </c>
      <c r="AI135" s="697" t="s">
        <v>1367</v>
      </c>
      <c r="AJ135" s="698" t="s">
        <v>1382</v>
      </c>
      <c r="AK135" s="699">
        <f t="shared" si="21"/>
        <v>72831</v>
      </c>
      <c r="AL135" s="685" t="s">
        <v>159</v>
      </c>
      <c r="AM135" s="699">
        <v>2500</v>
      </c>
      <c r="AN135" s="699">
        <v>1000</v>
      </c>
    </row>
    <row r="136" spans="1:40" x14ac:dyDescent="0.3">
      <c r="A136" s="669" t="s">
        <v>1383</v>
      </c>
      <c r="B136" s="686" t="e">
        <f>+#REF!+1</f>
        <v>#REF!</v>
      </c>
      <c r="C136" s="687">
        <v>135</v>
      </c>
      <c r="D136" s="688">
        <v>100</v>
      </c>
      <c r="E136" s="688">
        <v>295</v>
      </c>
      <c r="F136" s="689"/>
      <c r="G136" s="689">
        <v>69.83</v>
      </c>
      <c r="H136" s="690">
        <v>0.98099999999999998</v>
      </c>
      <c r="I136" s="691">
        <f t="shared" si="16"/>
        <v>0</v>
      </c>
      <c r="J136" s="692">
        <f t="shared" si="17"/>
        <v>0</v>
      </c>
      <c r="K136" s="692">
        <v>0</v>
      </c>
      <c r="L136" s="692">
        <f t="shared" si="18"/>
        <v>0</v>
      </c>
      <c r="M136" s="693">
        <v>6.35</v>
      </c>
      <c r="N136" s="693">
        <v>0</v>
      </c>
      <c r="O136" s="691">
        <f t="shared" si="20"/>
        <v>0</v>
      </c>
      <c r="P136" s="688" t="s">
        <v>1366</v>
      </c>
      <c r="Q136" s="694">
        <v>5000</v>
      </c>
      <c r="R136" s="688" t="s">
        <v>886</v>
      </c>
      <c r="S136" s="688" t="e">
        <f>+#REF!</f>
        <v>#REF!</v>
      </c>
      <c r="T136" s="688" t="s">
        <v>1366</v>
      </c>
      <c r="U136" s="694">
        <v>5000</v>
      </c>
      <c r="V136" s="688" t="s">
        <v>886</v>
      </c>
      <c r="W136" s="695">
        <v>34335</v>
      </c>
      <c r="X136" s="696" t="s">
        <v>1367</v>
      </c>
      <c r="Y136" s="688" t="s">
        <v>1384</v>
      </c>
      <c r="Z136" s="688" t="s">
        <v>1385</v>
      </c>
      <c r="AA136" s="688" t="s">
        <v>891</v>
      </c>
      <c r="AB136" s="688" t="s">
        <v>891</v>
      </c>
      <c r="AC136" s="688"/>
      <c r="AD136" s="688"/>
      <c r="AE136" s="689">
        <v>12560159.699999999</v>
      </c>
      <c r="AF136" s="693">
        <v>4.67</v>
      </c>
      <c r="AG136" s="688" t="s">
        <v>891</v>
      </c>
      <c r="AH136" s="693">
        <v>49.76</v>
      </c>
      <c r="AI136" s="697" t="s">
        <v>1367</v>
      </c>
      <c r="AJ136" s="698" t="s">
        <v>1386</v>
      </c>
      <c r="AK136" s="699">
        <f t="shared" si="21"/>
        <v>76813</v>
      </c>
      <c r="AL136" s="685" t="s">
        <v>159</v>
      </c>
      <c r="AM136" s="699">
        <v>2500</v>
      </c>
      <c r="AN136" s="699">
        <v>1000</v>
      </c>
    </row>
    <row r="137" spans="1:40" x14ac:dyDescent="0.3">
      <c r="A137" s="669" t="s">
        <v>1387</v>
      </c>
      <c r="B137" s="686" t="e">
        <f t="shared" ref="B137:C149" si="22">+B136+1</f>
        <v>#REF!</v>
      </c>
      <c r="C137" s="687">
        <f t="shared" si="22"/>
        <v>136</v>
      </c>
      <c r="D137" s="688">
        <v>100</v>
      </c>
      <c r="E137" s="688">
        <v>295</v>
      </c>
      <c r="F137" s="689"/>
      <c r="G137" s="689">
        <v>48.85</v>
      </c>
      <c r="H137" s="690">
        <v>1.024</v>
      </c>
      <c r="I137" s="691">
        <f t="shared" si="16"/>
        <v>0</v>
      </c>
      <c r="J137" s="692">
        <f t="shared" si="17"/>
        <v>0</v>
      </c>
      <c r="K137" s="692">
        <v>0</v>
      </c>
      <c r="L137" s="692">
        <f t="shared" si="18"/>
        <v>0</v>
      </c>
      <c r="M137" s="693">
        <v>1.91</v>
      </c>
      <c r="N137" s="693">
        <v>1.67</v>
      </c>
      <c r="O137" s="691">
        <f t="shared" si="20"/>
        <v>0</v>
      </c>
      <c r="P137" s="688" t="s">
        <v>1366</v>
      </c>
      <c r="Q137" s="694">
        <v>5000</v>
      </c>
      <c r="R137" s="688" t="s">
        <v>886</v>
      </c>
      <c r="S137" s="688" t="e">
        <f>+#REF!</f>
        <v>#REF!</v>
      </c>
      <c r="T137" s="688" t="s">
        <v>1366</v>
      </c>
      <c r="U137" s="694">
        <v>5000</v>
      </c>
      <c r="V137" s="688" t="s">
        <v>886</v>
      </c>
      <c r="W137" s="695">
        <v>34400</v>
      </c>
      <c r="X137" s="696" t="s">
        <v>1367</v>
      </c>
      <c r="Y137" s="688" t="s">
        <v>1388</v>
      </c>
      <c r="Z137" s="688" t="s">
        <v>1389</v>
      </c>
      <c r="AA137" s="688" t="s">
        <v>891</v>
      </c>
      <c r="AB137" s="688" t="s">
        <v>891</v>
      </c>
      <c r="AC137" s="688"/>
      <c r="AD137" s="688"/>
      <c r="AE137" s="689">
        <v>9171674.5700000003</v>
      </c>
      <c r="AF137" s="693">
        <v>3.41</v>
      </c>
      <c r="AG137" s="688" t="s">
        <v>891</v>
      </c>
      <c r="AH137" s="693">
        <v>34.81</v>
      </c>
      <c r="AI137" s="697" t="s">
        <v>1367</v>
      </c>
      <c r="AJ137" s="698" t="s">
        <v>1390</v>
      </c>
      <c r="AK137" s="699">
        <f t="shared" si="21"/>
        <v>53735</v>
      </c>
      <c r="AL137" s="685" t="s">
        <v>159</v>
      </c>
      <c r="AM137" s="699">
        <v>2500</v>
      </c>
      <c r="AN137" s="699">
        <v>1000</v>
      </c>
    </row>
    <row r="138" spans="1:40" x14ac:dyDescent="0.3">
      <c r="A138" s="669" t="s">
        <v>1391</v>
      </c>
      <c r="B138" s="686" t="e">
        <f t="shared" si="22"/>
        <v>#REF!</v>
      </c>
      <c r="C138" s="687">
        <f t="shared" si="22"/>
        <v>137</v>
      </c>
      <c r="D138" s="688">
        <v>100</v>
      </c>
      <c r="E138" s="688">
        <v>295</v>
      </c>
      <c r="F138" s="689"/>
      <c r="G138" s="689">
        <v>62.85</v>
      </c>
      <c r="H138" s="690">
        <v>1</v>
      </c>
      <c r="I138" s="691">
        <f t="shared" si="16"/>
        <v>0</v>
      </c>
      <c r="J138" s="692">
        <f t="shared" si="17"/>
        <v>0</v>
      </c>
      <c r="K138" s="692">
        <v>0</v>
      </c>
      <c r="L138" s="692">
        <f t="shared" si="18"/>
        <v>0</v>
      </c>
      <c r="M138" s="693">
        <v>1.3943700000000001</v>
      </c>
      <c r="N138" s="693">
        <v>1.21916</v>
      </c>
      <c r="O138" s="691">
        <f t="shared" si="20"/>
        <v>0</v>
      </c>
      <c r="P138" s="688" t="s">
        <v>1366</v>
      </c>
      <c r="Q138" s="694">
        <v>5000</v>
      </c>
      <c r="R138" s="688" t="s">
        <v>886</v>
      </c>
      <c r="S138" s="688" t="e">
        <f>+#REF!</f>
        <v>#REF!</v>
      </c>
      <c r="T138" s="688" t="s">
        <v>1366</v>
      </c>
      <c r="U138" s="694">
        <v>5000</v>
      </c>
      <c r="V138" s="688" t="s">
        <v>886</v>
      </c>
      <c r="W138" s="695">
        <v>34379</v>
      </c>
      <c r="X138" s="696" t="s">
        <v>1367</v>
      </c>
      <c r="Y138" s="688" t="s">
        <v>1392</v>
      </c>
      <c r="Z138" s="688" t="s">
        <v>1393</v>
      </c>
      <c r="AA138" s="688" t="s">
        <v>891</v>
      </c>
      <c r="AB138" s="688" t="s">
        <v>891</v>
      </c>
      <c r="AC138" s="688"/>
      <c r="AD138" s="688"/>
      <c r="AE138" s="689">
        <v>11523632.35</v>
      </c>
      <c r="AF138" s="693">
        <v>4.29</v>
      </c>
      <c r="AG138" s="688" t="s">
        <v>891</v>
      </c>
      <c r="AH138" s="693">
        <v>45.65</v>
      </c>
      <c r="AI138" s="697" t="s">
        <v>1367</v>
      </c>
      <c r="AJ138" s="698" t="s">
        <v>1394</v>
      </c>
      <c r="AK138" s="699">
        <f t="shared" si="21"/>
        <v>69135</v>
      </c>
      <c r="AL138" s="685" t="s">
        <v>159</v>
      </c>
      <c r="AM138" s="699">
        <v>2500</v>
      </c>
      <c r="AN138" s="699">
        <v>1000</v>
      </c>
    </row>
    <row r="139" spans="1:40" x14ac:dyDescent="0.3">
      <c r="A139" s="669" t="s">
        <v>1395</v>
      </c>
      <c r="B139" s="686" t="e">
        <f t="shared" si="22"/>
        <v>#REF!</v>
      </c>
      <c r="C139" s="687">
        <f t="shared" si="22"/>
        <v>138</v>
      </c>
      <c r="D139" s="688">
        <v>100</v>
      </c>
      <c r="E139" s="688">
        <v>295</v>
      </c>
      <c r="F139" s="689"/>
      <c r="G139" s="689">
        <v>48.86</v>
      </c>
      <c r="H139" s="690">
        <v>1.024</v>
      </c>
      <c r="I139" s="691">
        <f t="shared" si="16"/>
        <v>0</v>
      </c>
      <c r="J139" s="692">
        <f t="shared" si="17"/>
        <v>0</v>
      </c>
      <c r="K139" s="692">
        <v>0</v>
      </c>
      <c r="L139" s="692">
        <f t="shared" si="18"/>
        <v>0</v>
      </c>
      <c r="M139" s="693">
        <v>6.35</v>
      </c>
      <c r="N139" s="693">
        <v>0</v>
      </c>
      <c r="O139" s="691">
        <f t="shared" si="20"/>
        <v>0</v>
      </c>
      <c r="P139" s="688" t="s">
        <v>1366</v>
      </c>
      <c r="Q139" s="694">
        <v>5000</v>
      </c>
      <c r="R139" s="688" t="s">
        <v>886</v>
      </c>
      <c r="S139" s="688" t="e">
        <f>+#REF!</f>
        <v>#REF!</v>
      </c>
      <c r="T139" s="688" t="s">
        <v>1366</v>
      </c>
      <c r="U139" s="694">
        <v>5000</v>
      </c>
      <c r="V139" s="688" t="s">
        <v>886</v>
      </c>
      <c r="W139" s="695">
        <v>34312</v>
      </c>
      <c r="X139" s="696" t="s">
        <v>1367</v>
      </c>
      <c r="Y139" s="688" t="s">
        <v>1396</v>
      </c>
      <c r="Z139" s="688" t="s">
        <v>1397</v>
      </c>
      <c r="AA139" s="688" t="s">
        <v>891</v>
      </c>
      <c r="AB139" s="688" t="s">
        <v>891</v>
      </c>
      <c r="AC139" s="688"/>
      <c r="AD139" s="688"/>
      <c r="AE139" s="689">
        <v>9173552.0899999999</v>
      </c>
      <c r="AF139" s="693">
        <v>3.41</v>
      </c>
      <c r="AG139" s="688" t="s">
        <v>891</v>
      </c>
      <c r="AH139" s="693">
        <v>36.340000000000003</v>
      </c>
      <c r="AI139" s="697" t="s">
        <v>1367</v>
      </c>
      <c r="AJ139" s="698" t="s">
        <v>1398</v>
      </c>
      <c r="AK139" s="699">
        <f t="shared" si="21"/>
        <v>53746</v>
      </c>
      <c r="AL139" s="685" t="s">
        <v>159</v>
      </c>
      <c r="AM139" s="699">
        <v>2500</v>
      </c>
      <c r="AN139" s="699">
        <v>1000</v>
      </c>
    </row>
    <row r="140" spans="1:40" x14ac:dyDescent="0.3">
      <c r="A140" s="669" t="s">
        <v>1399</v>
      </c>
      <c r="B140" s="686" t="e">
        <f t="shared" si="22"/>
        <v>#REF!</v>
      </c>
      <c r="C140" s="687">
        <f t="shared" si="22"/>
        <v>139</v>
      </c>
      <c r="D140" s="688">
        <v>100</v>
      </c>
      <c r="E140" s="688">
        <v>295</v>
      </c>
      <c r="F140" s="689"/>
      <c r="G140" s="689">
        <v>48.68</v>
      </c>
      <c r="H140" s="690">
        <v>1.024</v>
      </c>
      <c r="I140" s="691">
        <f t="shared" si="16"/>
        <v>0</v>
      </c>
      <c r="J140" s="692">
        <f t="shared" si="17"/>
        <v>0</v>
      </c>
      <c r="K140" s="692">
        <v>0</v>
      </c>
      <c r="L140" s="692">
        <f t="shared" si="18"/>
        <v>0</v>
      </c>
      <c r="M140" s="693">
        <v>1.3943700000000001</v>
      </c>
      <c r="N140" s="693">
        <v>1.21916</v>
      </c>
      <c r="O140" s="691">
        <f t="shared" si="20"/>
        <v>0</v>
      </c>
      <c r="P140" s="688" t="s">
        <v>1366</v>
      </c>
      <c r="Q140" s="694">
        <v>5000</v>
      </c>
      <c r="R140" s="688" t="s">
        <v>886</v>
      </c>
      <c r="S140" s="688" t="e">
        <f>+#REF!</f>
        <v>#REF!</v>
      </c>
      <c r="T140" s="688" t="s">
        <v>1366</v>
      </c>
      <c r="U140" s="694">
        <v>5000</v>
      </c>
      <c r="V140" s="688" t="s">
        <v>886</v>
      </c>
      <c r="W140" s="695">
        <v>34309</v>
      </c>
      <c r="X140" s="696" t="s">
        <v>1367</v>
      </c>
      <c r="Y140" s="688" t="s">
        <v>1400</v>
      </c>
      <c r="Z140" s="688" t="s">
        <v>1401</v>
      </c>
      <c r="AA140" s="688" t="s">
        <v>891</v>
      </c>
      <c r="AB140" s="688" t="s">
        <v>891</v>
      </c>
      <c r="AC140" s="688"/>
      <c r="AD140" s="688"/>
      <c r="AE140" s="689">
        <v>9139756.7699999996</v>
      </c>
      <c r="AF140" s="693">
        <v>3.4</v>
      </c>
      <c r="AG140" s="688" t="s">
        <v>891</v>
      </c>
      <c r="AH140" s="693">
        <v>36.21</v>
      </c>
      <c r="AI140" s="697" t="s">
        <v>1367</v>
      </c>
      <c r="AJ140" s="698" t="s">
        <v>1402</v>
      </c>
      <c r="AK140" s="699">
        <f t="shared" si="21"/>
        <v>53548</v>
      </c>
      <c r="AL140" s="685" t="s">
        <v>159</v>
      </c>
      <c r="AM140" s="699">
        <v>2500</v>
      </c>
      <c r="AN140" s="699">
        <v>1000</v>
      </c>
    </row>
    <row r="141" spans="1:40" x14ac:dyDescent="0.3">
      <c r="A141" s="669" t="s">
        <v>1403</v>
      </c>
      <c r="B141" s="686" t="e">
        <f t="shared" si="22"/>
        <v>#REF!</v>
      </c>
      <c r="C141" s="687">
        <f t="shared" si="22"/>
        <v>140</v>
      </c>
      <c r="D141" s="688">
        <v>100</v>
      </c>
      <c r="E141" s="688">
        <v>295</v>
      </c>
      <c r="F141" s="689"/>
      <c r="G141" s="689">
        <v>66.930000000000007</v>
      </c>
      <c r="H141" s="690">
        <v>1</v>
      </c>
      <c r="I141" s="691">
        <f t="shared" si="16"/>
        <v>0</v>
      </c>
      <c r="J141" s="692">
        <f t="shared" si="17"/>
        <v>0</v>
      </c>
      <c r="K141" s="692">
        <v>0</v>
      </c>
      <c r="L141" s="692">
        <f t="shared" si="18"/>
        <v>0</v>
      </c>
      <c r="M141" s="693">
        <v>1.91</v>
      </c>
      <c r="N141" s="693">
        <v>1.67</v>
      </c>
      <c r="O141" s="691">
        <f t="shared" si="20"/>
        <v>0</v>
      </c>
      <c r="P141" s="688" t="s">
        <v>1366</v>
      </c>
      <c r="Q141" s="694">
        <v>5000</v>
      </c>
      <c r="R141" s="688" t="s">
        <v>886</v>
      </c>
      <c r="S141" s="688" t="e">
        <f>+#REF!</f>
        <v>#REF!</v>
      </c>
      <c r="T141" s="688" t="s">
        <v>1366</v>
      </c>
      <c r="U141" s="694">
        <v>5000</v>
      </c>
      <c r="V141" s="688" t="s">
        <v>886</v>
      </c>
      <c r="W141" s="695">
        <v>37742</v>
      </c>
      <c r="X141" s="696" t="s">
        <v>1367</v>
      </c>
      <c r="Y141" s="688" t="s">
        <v>1404</v>
      </c>
      <c r="Z141" s="688" t="s">
        <v>1405</v>
      </c>
      <c r="AA141" s="688" t="s">
        <v>891</v>
      </c>
      <c r="AB141" s="688" t="s">
        <v>891</v>
      </c>
      <c r="AC141" s="688"/>
      <c r="AD141" s="688"/>
      <c r="AE141" s="689">
        <v>12271705.859999999</v>
      </c>
      <c r="AF141" s="693">
        <v>4.57</v>
      </c>
      <c r="AG141" s="688" t="s">
        <v>891</v>
      </c>
      <c r="AH141" s="693">
        <v>48.61</v>
      </c>
      <c r="AI141" s="697" t="s">
        <v>1367</v>
      </c>
      <c r="AJ141" s="698" t="s">
        <v>1406</v>
      </c>
      <c r="AK141" s="699">
        <f t="shared" si="21"/>
        <v>73623.000000000015</v>
      </c>
      <c r="AL141" s="685" t="s">
        <v>159</v>
      </c>
      <c r="AM141" s="699">
        <v>2500</v>
      </c>
      <c r="AN141" s="699">
        <v>1000</v>
      </c>
    </row>
    <row r="142" spans="1:40" x14ac:dyDescent="0.3">
      <c r="A142" s="669" t="s">
        <v>1407</v>
      </c>
      <c r="B142" s="686" t="e">
        <f t="shared" si="22"/>
        <v>#REF!</v>
      </c>
      <c r="C142" s="687">
        <f t="shared" si="22"/>
        <v>141</v>
      </c>
      <c r="D142" s="688">
        <v>100</v>
      </c>
      <c r="E142" s="688">
        <v>295</v>
      </c>
      <c r="F142" s="689"/>
      <c r="G142" s="689">
        <v>48.76</v>
      </c>
      <c r="H142" s="690">
        <v>1.024</v>
      </c>
      <c r="I142" s="691">
        <f t="shared" si="16"/>
        <v>0</v>
      </c>
      <c r="J142" s="692">
        <f t="shared" si="17"/>
        <v>0</v>
      </c>
      <c r="K142" s="692">
        <v>0</v>
      </c>
      <c r="L142" s="692">
        <f t="shared" si="18"/>
        <v>0</v>
      </c>
      <c r="M142" s="693">
        <v>5.08</v>
      </c>
      <c r="N142" s="693">
        <v>0</v>
      </c>
      <c r="O142" s="691">
        <f t="shared" si="20"/>
        <v>0</v>
      </c>
      <c r="P142" s="688" t="s">
        <v>1366</v>
      </c>
      <c r="Q142" s="694">
        <v>5000</v>
      </c>
      <c r="R142" s="688" t="s">
        <v>886</v>
      </c>
      <c r="S142" s="688" t="e">
        <f>+#REF!</f>
        <v>#REF!</v>
      </c>
      <c r="T142" s="688" t="s">
        <v>1366</v>
      </c>
      <c r="U142" s="694">
        <v>5000</v>
      </c>
      <c r="V142" s="688" t="s">
        <v>886</v>
      </c>
      <c r="W142" s="695">
        <v>34528</v>
      </c>
      <c r="X142" s="696" t="s">
        <v>1367</v>
      </c>
      <c r="Y142" s="688" t="s">
        <v>1408</v>
      </c>
      <c r="Z142" s="688" t="s">
        <v>1409</v>
      </c>
      <c r="AA142" s="688" t="s">
        <v>891</v>
      </c>
      <c r="AB142" s="688" t="s">
        <v>891</v>
      </c>
      <c r="AC142" s="688"/>
      <c r="AD142" s="688"/>
      <c r="AE142" s="689">
        <v>9154776.9100000001</v>
      </c>
      <c r="AF142" s="693">
        <v>36.270000000000003</v>
      </c>
      <c r="AG142" s="688" t="s">
        <v>891</v>
      </c>
      <c r="AH142" s="693">
        <v>36.270000000000003</v>
      </c>
      <c r="AI142" s="697" t="s">
        <v>1367</v>
      </c>
      <c r="AJ142" s="698" t="s">
        <v>1410</v>
      </c>
      <c r="AK142" s="699">
        <f t="shared" si="21"/>
        <v>53636</v>
      </c>
      <c r="AL142" s="685" t="s">
        <v>159</v>
      </c>
      <c r="AM142" s="699">
        <v>2500</v>
      </c>
      <c r="AN142" s="699">
        <v>1000</v>
      </c>
    </row>
    <row r="143" spans="1:40" x14ac:dyDescent="0.3">
      <c r="A143" s="669" t="s">
        <v>1411</v>
      </c>
      <c r="B143" s="686" t="e">
        <f t="shared" si="22"/>
        <v>#REF!</v>
      </c>
      <c r="C143" s="687">
        <f t="shared" si="22"/>
        <v>142</v>
      </c>
      <c r="D143" s="688">
        <v>100</v>
      </c>
      <c r="E143" s="688">
        <v>295</v>
      </c>
      <c r="F143" s="689"/>
      <c r="G143" s="689">
        <v>48.77</v>
      </c>
      <c r="H143" s="690">
        <v>1.024</v>
      </c>
      <c r="I143" s="691">
        <f t="shared" si="16"/>
        <v>0</v>
      </c>
      <c r="J143" s="692">
        <f t="shared" si="17"/>
        <v>0</v>
      </c>
      <c r="K143" s="692">
        <v>0</v>
      </c>
      <c r="L143" s="692">
        <f t="shared" si="18"/>
        <v>0</v>
      </c>
      <c r="M143" s="693">
        <v>5.08</v>
      </c>
      <c r="N143" s="693">
        <v>0</v>
      </c>
      <c r="O143" s="691">
        <f t="shared" si="20"/>
        <v>0</v>
      </c>
      <c r="P143" s="688" t="s">
        <v>1366</v>
      </c>
      <c r="Q143" s="694">
        <v>5000</v>
      </c>
      <c r="R143" s="688" t="s">
        <v>886</v>
      </c>
      <c r="S143" s="688" t="e">
        <f>+#REF!</f>
        <v>#REF!</v>
      </c>
      <c r="T143" s="688" t="s">
        <v>1366</v>
      </c>
      <c r="U143" s="694">
        <v>5000</v>
      </c>
      <c r="V143" s="688" t="s">
        <v>886</v>
      </c>
      <c r="W143" s="695">
        <v>34310</v>
      </c>
      <c r="X143" s="696" t="s">
        <v>1367</v>
      </c>
      <c r="Y143" s="688" t="s">
        <v>1412</v>
      </c>
      <c r="Z143" s="688" t="s">
        <v>1413</v>
      </c>
      <c r="AA143" s="688" t="s">
        <v>891</v>
      </c>
      <c r="AB143" s="688" t="s">
        <v>891</v>
      </c>
      <c r="AC143" s="688"/>
      <c r="AD143" s="688"/>
      <c r="AE143" s="689">
        <v>9156654.4299999997</v>
      </c>
      <c r="AF143" s="693">
        <v>3.41</v>
      </c>
      <c r="AG143" s="688" t="s">
        <v>891</v>
      </c>
      <c r="AH143" s="693">
        <v>36.270000000000003</v>
      </c>
      <c r="AI143" s="697" t="s">
        <v>1367</v>
      </c>
      <c r="AJ143" s="698" t="s">
        <v>1414</v>
      </c>
      <c r="AK143" s="699">
        <f t="shared" si="21"/>
        <v>53647</v>
      </c>
      <c r="AL143" s="685" t="s">
        <v>159</v>
      </c>
      <c r="AM143" s="699">
        <v>2500</v>
      </c>
      <c r="AN143" s="699">
        <v>1000</v>
      </c>
    </row>
    <row r="144" spans="1:40" x14ac:dyDescent="0.3">
      <c r="A144" s="669" t="s">
        <v>1415</v>
      </c>
      <c r="B144" s="686" t="e">
        <f>+#REF!+1</f>
        <v>#REF!</v>
      </c>
      <c r="C144" s="687">
        <f t="shared" si="22"/>
        <v>143</v>
      </c>
      <c r="D144" s="688">
        <v>100</v>
      </c>
      <c r="E144" s="688">
        <v>295</v>
      </c>
      <c r="F144" s="689"/>
      <c r="G144" s="689">
        <v>66.930000000000007</v>
      </c>
      <c r="H144" s="690">
        <v>1</v>
      </c>
      <c r="I144" s="691">
        <f t="shared" si="16"/>
        <v>0</v>
      </c>
      <c r="J144" s="692">
        <f t="shared" si="17"/>
        <v>0</v>
      </c>
      <c r="K144" s="692">
        <v>0</v>
      </c>
      <c r="L144" s="692">
        <f t="shared" si="18"/>
        <v>0</v>
      </c>
      <c r="M144" s="693">
        <v>1.3943700000000001</v>
      </c>
      <c r="N144" s="693">
        <v>1.21916</v>
      </c>
      <c r="O144" s="691">
        <f t="shared" si="20"/>
        <v>0</v>
      </c>
      <c r="P144" s="688" t="s">
        <v>1366</v>
      </c>
      <c r="Q144" s="694">
        <v>5000</v>
      </c>
      <c r="R144" s="688" t="s">
        <v>886</v>
      </c>
      <c r="S144" s="688" t="e">
        <f>+#REF!</f>
        <v>#REF!</v>
      </c>
      <c r="T144" s="688" t="s">
        <v>1366</v>
      </c>
      <c r="U144" s="694">
        <v>5000</v>
      </c>
      <c r="V144" s="688" t="s">
        <v>886</v>
      </c>
      <c r="W144" s="695">
        <v>34465</v>
      </c>
      <c r="X144" s="696" t="s">
        <v>1367</v>
      </c>
      <c r="Y144" s="688" t="s">
        <v>1416</v>
      </c>
      <c r="Z144" s="688" t="s">
        <v>1417</v>
      </c>
      <c r="AA144" s="688" t="s">
        <v>891</v>
      </c>
      <c r="AB144" s="688" t="s">
        <v>891</v>
      </c>
      <c r="AC144" s="688"/>
      <c r="AD144" s="688"/>
      <c r="AE144" s="689">
        <v>12271705.859999999</v>
      </c>
      <c r="AF144" s="693">
        <v>4.57</v>
      </c>
      <c r="AG144" s="688" t="s">
        <v>891</v>
      </c>
      <c r="AH144" s="693">
        <v>48.61</v>
      </c>
      <c r="AI144" s="697" t="s">
        <v>1367</v>
      </c>
      <c r="AJ144" s="698" t="s">
        <v>1418</v>
      </c>
      <c r="AK144" s="699">
        <f t="shared" si="21"/>
        <v>73623.000000000015</v>
      </c>
      <c r="AL144" s="685" t="s">
        <v>159</v>
      </c>
      <c r="AM144" s="699">
        <v>2500</v>
      </c>
      <c r="AN144" s="699">
        <v>1000</v>
      </c>
    </row>
    <row r="145" spans="1:40" x14ac:dyDescent="0.3">
      <c r="A145" s="669" t="s">
        <v>1419</v>
      </c>
      <c r="B145" s="686" t="e">
        <f t="shared" ref="B145:C157" si="23">+B144+1</f>
        <v>#REF!</v>
      </c>
      <c r="C145" s="687">
        <f t="shared" si="22"/>
        <v>144</v>
      </c>
      <c r="D145" s="688">
        <v>100</v>
      </c>
      <c r="E145" s="688">
        <v>224</v>
      </c>
      <c r="F145" s="689"/>
      <c r="G145" s="689">
        <v>14.09</v>
      </c>
      <c r="H145" s="690">
        <v>1.0569999999999999</v>
      </c>
      <c r="I145" s="691">
        <f t="shared" si="16"/>
        <v>0</v>
      </c>
      <c r="J145" s="692">
        <f t="shared" si="17"/>
        <v>0</v>
      </c>
      <c r="K145" s="692">
        <v>3349</v>
      </c>
      <c r="L145" s="692">
        <f t="shared" si="18"/>
        <v>-3349</v>
      </c>
      <c r="M145" s="693">
        <v>1.91</v>
      </c>
      <c r="N145" s="693">
        <v>1.67</v>
      </c>
      <c r="O145" s="691">
        <f t="shared" si="20"/>
        <v>0</v>
      </c>
      <c r="P145" s="688" t="s">
        <v>1420</v>
      </c>
      <c r="Q145" s="694">
        <v>5294</v>
      </c>
      <c r="R145" s="688" t="s">
        <v>750</v>
      </c>
      <c r="S145" s="688" t="e">
        <f>+#REF!</f>
        <v>#REF!</v>
      </c>
      <c r="T145" s="688" t="s">
        <v>1421</v>
      </c>
      <c r="U145" s="694">
        <v>5294</v>
      </c>
      <c r="V145" s="688" t="s">
        <v>750</v>
      </c>
      <c r="W145" s="695">
        <v>34335</v>
      </c>
      <c r="X145" s="696" t="s">
        <v>1422</v>
      </c>
      <c r="Y145" s="688" t="s">
        <v>1423</v>
      </c>
      <c r="Z145" s="688" t="s">
        <v>1424</v>
      </c>
      <c r="AA145" s="688" t="s">
        <v>891</v>
      </c>
      <c r="AB145" s="688" t="s">
        <v>891</v>
      </c>
      <c r="AC145" s="688"/>
      <c r="AD145" s="688"/>
      <c r="AE145" s="689">
        <v>2073462.07</v>
      </c>
      <c r="AF145" s="693">
        <v>9.32</v>
      </c>
      <c r="AG145" s="688" t="s">
        <v>891</v>
      </c>
      <c r="AH145" s="693">
        <v>9.32</v>
      </c>
      <c r="AI145" s="697" t="s">
        <v>1422</v>
      </c>
      <c r="AJ145" s="698" t="s">
        <v>1425</v>
      </c>
      <c r="AK145" s="699">
        <f>G145*900</f>
        <v>12681</v>
      </c>
      <c r="AL145" s="685" t="s">
        <v>159</v>
      </c>
      <c r="AM145" s="699">
        <v>2500</v>
      </c>
      <c r="AN145" s="699">
        <v>1000</v>
      </c>
    </row>
    <row r="146" spans="1:40" x14ac:dyDescent="0.3">
      <c r="A146" s="669" t="s">
        <v>1426</v>
      </c>
      <c r="B146" s="686" t="e">
        <f t="shared" si="23"/>
        <v>#REF!</v>
      </c>
      <c r="C146" s="687">
        <f t="shared" si="22"/>
        <v>145</v>
      </c>
      <c r="D146" s="688">
        <v>100</v>
      </c>
      <c r="E146" s="688">
        <v>217</v>
      </c>
      <c r="F146" s="689"/>
      <c r="G146" s="689">
        <v>67.8</v>
      </c>
      <c r="H146" s="690">
        <v>1</v>
      </c>
      <c r="I146" s="691">
        <f t="shared" si="16"/>
        <v>0</v>
      </c>
      <c r="J146" s="692">
        <f t="shared" si="17"/>
        <v>0</v>
      </c>
      <c r="K146" s="692">
        <v>0</v>
      </c>
      <c r="L146" s="692">
        <f t="shared" si="18"/>
        <v>0</v>
      </c>
      <c r="M146" s="693">
        <v>3.81</v>
      </c>
      <c r="N146" s="693">
        <v>0</v>
      </c>
      <c r="O146" s="691">
        <f t="shared" si="20"/>
        <v>0</v>
      </c>
      <c r="P146" s="688" t="s">
        <v>1420</v>
      </c>
      <c r="Q146" s="694">
        <v>5294</v>
      </c>
      <c r="R146" s="688" t="s">
        <v>750</v>
      </c>
      <c r="S146" s="688" t="e">
        <f>+#REF!</f>
        <v>#REF!</v>
      </c>
      <c r="T146" s="688" t="s">
        <v>1421</v>
      </c>
      <c r="U146" s="694">
        <v>5294</v>
      </c>
      <c r="V146" s="688" t="s">
        <v>750</v>
      </c>
      <c r="W146" s="695">
        <v>34335</v>
      </c>
      <c r="X146" s="696" t="s">
        <v>1422</v>
      </c>
      <c r="Y146" s="688" t="s">
        <v>1427</v>
      </c>
      <c r="Z146" s="688" t="s">
        <v>1428</v>
      </c>
      <c r="AA146" s="688" t="s">
        <v>891</v>
      </c>
      <c r="AB146" s="688" t="s">
        <v>891</v>
      </c>
      <c r="AC146" s="688"/>
      <c r="AD146" s="688"/>
      <c r="AE146" s="689">
        <v>9144322.2799999993</v>
      </c>
      <c r="AF146" s="693">
        <v>41.09</v>
      </c>
      <c r="AG146" s="688" t="s">
        <v>891</v>
      </c>
      <c r="AH146" s="693">
        <v>41.09</v>
      </c>
      <c r="AI146" s="697" t="s">
        <v>1422</v>
      </c>
      <c r="AJ146" s="698" t="s">
        <v>1429</v>
      </c>
      <c r="AK146" s="699">
        <f>G146*900</f>
        <v>61020</v>
      </c>
      <c r="AL146" s="685" t="s">
        <v>159</v>
      </c>
      <c r="AM146" s="699">
        <v>2500</v>
      </c>
      <c r="AN146" s="699">
        <v>1000</v>
      </c>
    </row>
    <row r="147" spans="1:40" x14ac:dyDescent="0.3">
      <c r="A147" s="669" t="s">
        <v>1430</v>
      </c>
      <c r="B147" s="686" t="e">
        <f t="shared" si="23"/>
        <v>#REF!</v>
      </c>
      <c r="C147" s="687">
        <f t="shared" si="22"/>
        <v>146</v>
      </c>
      <c r="D147" s="688">
        <v>100</v>
      </c>
      <c r="E147" s="688">
        <v>217</v>
      </c>
      <c r="F147" s="689"/>
      <c r="G147" s="689">
        <v>63.75</v>
      </c>
      <c r="H147" s="690">
        <v>1</v>
      </c>
      <c r="I147" s="691">
        <f t="shared" si="16"/>
        <v>0</v>
      </c>
      <c r="J147" s="692">
        <f t="shared" si="17"/>
        <v>0</v>
      </c>
      <c r="K147" s="692">
        <v>0</v>
      </c>
      <c r="L147" s="692">
        <f t="shared" si="18"/>
        <v>0</v>
      </c>
      <c r="M147" s="693">
        <v>5.08</v>
      </c>
      <c r="N147" s="693">
        <v>0</v>
      </c>
      <c r="O147" s="691">
        <f t="shared" si="20"/>
        <v>0</v>
      </c>
      <c r="P147" s="688" t="s">
        <v>1420</v>
      </c>
      <c r="Q147" s="694">
        <v>5294</v>
      </c>
      <c r="R147" s="688" t="s">
        <v>750</v>
      </c>
      <c r="S147" s="688" t="e">
        <f>+#REF!</f>
        <v>#REF!</v>
      </c>
      <c r="T147" s="688" t="s">
        <v>1431</v>
      </c>
      <c r="U147" s="694">
        <v>5294</v>
      </c>
      <c r="V147" s="688" t="s">
        <v>750</v>
      </c>
      <c r="W147" s="695">
        <v>34335</v>
      </c>
      <c r="X147" s="696" t="s">
        <v>1422</v>
      </c>
      <c r="Y147" s="688" t="s">
        <v>1432</v>
      </c>
      <c r="Z147" s="688" t="s">
        <v>1433</v>
      </c>
      <c r="AA147" s="688" t="s">
        <v>891</v>
      </c>
      <c r="AB147" s="688" t="s">
        <v>891</v>
      </c>
      <c r="AC147" s="688"/>
      <c r="AD147" s="688"/>
      <c r="AE147" s="689">
        <v>8962245.0600000005</v>
      </c>
      <c r="AF147" s="693">
        <v>40.270000000000003</v>
      </c>
      <c r="AG147" s="688" t="s">
        <v>891</v>
      </c>
      <c r="AH147" s="693">
        <v>40.270000000000003</v>
      </c>
      <c r="AI147" s="697" t="s">
        <v>1422</v>
      </c>
      <c r="AJ147" s="698" t="s">
        <v>1434</v>
      </c>
      <c r="AK147" s="699">
        <f>G147*900</f>
        <v>57375</v>
      </c>
      <c r="AL147" s="685" t="s">
        <v>159</v>
      </c>
      <c r="AM147" s="699">
        <v>2500</v>
      </c>
      <c r="AN147" s="699">
        <v>1000</v>
      </c>
    </row>
    <row r="148" spans="1:40" x14ac:dyDescent="0.3">
      <c r="A148" s="669" t="s">
        <v>1435</v>
      </c>
      <c r="B148" s="686" t="e">
        <f t="shared" si="23"/>
        <v>#REF!</v>
      </c>
      <c r="C148" s="687">
        <f t="shared" si="22"/>
        <v>147</v>
      </c>
      <c r="D148" s="688">
        <v>100</v>
      </c>
      <c r="E148" s="688">
        <v>224</v>
      </c>
      <c r="F148" s="689"/>
      <c r="G148" s="689">
        <v>17.649999999999999</v>
      </c>
      <c r="H148" s="690">
        <v>1.0569999999999999</v>
      </c>
      <c r="I148" s="691">
        <f t="shared" si="16"/>
        <v>0</v>
      </c>
      <c r="J148" s="692">
        <f t="shared" si="17"/>
        <v>0</v>
      </c>
      <c r="K148" s="692">
        <v>0</v>
      </c>
      <c r="L148" s="692">
        <f t="shared" si="18"/>
        <v>0</v>
      </c>
      <c r="M148" s="693">
        <v>5.08</v>
      </c>
      <c r="N148" s="693">
        <v>0</v>
      </c>
      <c r="O148" s="691">
        <f t="shared" si="20"/>
        <v>0</v>
      </c>
      <c r="P148" s="688" t="s">
        <v>1420</v>
      </c>
      <c r="Q148" s="694">
        <v>5294</v>
      </c>
      <c r="R148" s="688" t="s">
        <v>750</v>
      </c>
      <c r="S148" s="688" t="e">
        <f>+#REF!</f>
        <v>#REF!</v>
      </c>
      <c r="T148" s="688" t="s">
        <v>1421</v>
      </c>
      <c r="U148" s="694">
        <v>5294</v>
      </c>
      <c r="V148" s="688" t="s">
        <v>750</v>
      </c>
      <c r="W148" s="695">
        <v>36992</v>
      </c>
      <c r="X148" s="696" t="s">
        <v>1422</v>
      </c>
      <c r="Y148" s="688" t="s">
        <v>1436</v>
      </c>
      <c r="Z148" s="688" t="s">
        <v>1437</v>
      </c>
      <c r="AA148" s="688" t="s">
        <v>891</v>
      </c>
      <c r="AB148" s="688" t="s">
        <v>891</v>
      </c>
      <c r="AC148" s="688"/>
      <c r="AD148" s="688"/>
      <c r="AE148" s="689">
        <v>2074933.65</v>
      </c>
      <c r="AF148" s="693">
        <v>9.32</v>
      </c>
      <c r="AG148" s="688" t="s">
        <v>891</v>
      </c>
      <c r="AH148" s="693">
        <v>9.32</v>
      </c>
      <c r="AI148" s="697" t="s">
        <v>1422</v>
      </c>
      <c r="AJ148" s="698" t="s">
        <v>1438</v>
      </c>
      <c r="AK148" s="699">
        <f>G148*900</f>
        <v>15884.999999999998</v>
      </c>
      <c r="AL148" s="685" t="s">
        <v>159</v>
      </c>
      <c r="AM148" s="699">
        <v>2500</v>
      </c>
      <c r="AN148" s="699">
        <v>1000</v>
      </c>
    </row>
    <row r="149" spans="1:40" x14ac:dyDescent="0.3">
      <c r="A149" s="669" t="s">
        <v>1439</v>
      </c>
      <c r="B149" s="686" t="e">
        <f t="shared" si="23"/>
        <v>#REF!</v>
      </c>
      <c r="C149" s="687">
        <f t="shared" si="22"/>
        <v>148</v>
      </c>
      <c r="D149" s="688">
        <v>100</v>
      </c>
      <c r="E149" s="688">
        <v>233</v>
      </c>
      <c r="F149" s="689"/>
      <c r="G149" s="689">
        <v>68.239999999999995</v>
      </c>
      <c r="H149" s="690">
        <v>0.96599999999999997</v>
      </c>
      <c r="I149" s="691">
        <f t="shared" si="16"/>
        <v>0</v>
      </c>
      <c r="J149" s="692">
        <f t="shared" si="17"/>
        <v>0</v>
      </c>
      <c r="K149" s="692">
        <v>0</v>
      </c>
      <c r="L149" s="692">
        <f t="shared" si="18"/>
        <v>0</v>
      </c>
      <c r="M149" s="693">
        <v>3.81</v>
      </c>
      <c r="N149" s="693">
        <v>0</v>
      </c>
      <c r="O149" s="691">
        <f t="shared" si="20"/>
        <v>0</v>
      </c>
      <c r="P149" s="688" t="s">
        <v>1440</v>
      </c>
      <c r="Q149" s="694">
        <v>5000</v>
      </c>
      <c r="R149" s="688" t="s">
        <v>886</v>
      </c>
      <c r="S149" s="688" t="e">
        <f>+#REF!</f>
        <v>#REF!</v>
      </c>
      <c r="T149" s="688" t="s">
        <v>1441</v>
      </c>
      <c r="U149" s="694">
        <v>5000</v>
      </c>
      <c r="V149" s="688" t="s">
        <v>886</v>
      </c>
      <c r="W149" s="695">
        <v>37373</v>
      </c>
      <c r="X149" s="696" t="s">
        <v>1442</v>
      </c>
      <c r="Y149" s="688" t="s">
        <v>1443</v>
      </c>
      <c r="Z149" s="688" t="s">
        <v>1444</v>
      </c>
      <c r="AA149" s="688" t="s">
        <v>891</v>
      </c>
      <c r="AB149" s="688" t="s">
        <v>891</v>
      </c>
      <c r="AC149" s="688"/>
      <c r="AD149" s="688"/>
      <c r="AE149" s="689">
        <v>9546279.8499999996</v>
      </c>
      <c r="AF149" s="693">
        <v>6.22</v>
      </c>
      <c r="AG149" s="688" t="s">
        <v>891</v>
      </c>
      <c r="AH149" s="693">
        <v>2.04</v>
      </c>
      <c r="AI149" s="697" t="s">
        <v>1442</v>
      </c>
      <c r="AJ149" s="698" t="s">
        <v>1445</v>
      </c>
      <c r="AK149" s="699">
        <f>G149*1000</f>
        <v>68240</v>
      </c>
      <c r="AL149" s="685" t="s">
        <v>159</v>
      </c>
      <c r="AM149" s="699">
        <v>2500</v>
      </c>
      <c r="AN149" s="699">
        <v>1000</v>
      </c>
    </row>
    <row r="150" spans="1:40" x14ac:dyDescent="0.3">
      <c r="B150" s="686"/>
      <c r="C150" s="687">
        <v>149</v>
      </c>
      <c r="D150" s="688"/>
      <c r="E150" s="688"/>
      <c r="F150" s="689"/>
      <c r="G150" s="689">
        <v>54.58</v>
      </c>
      <c r="H150" s="690"/>
      <c r="I150" s="691"/>
      <c r="J150" s="692"/>
      <c r="K150" s="692"/>
      <c r="L150" s="692"/>
      <c r="M150" s="693"/>
      <c r="N150" s="693"/>
      <c r="O150" s="691"/>
      <c r="P150" s="688" t="s">
        <v>1446</v>
      </c>
      <c r="Q150" s="694"/>
      <c r="R150" s="688"/>
      <c r="S150" s="688" t="e">
        <f>+#REF!</f>
        <v>#REF!</v>
      </c>
      <c r="T150" s="688"/>
      <c r="U150" s="694"/>
      <c r="V150" s="688"/>
      <c r="W150" s="695"/>
      <c r="X150" s="696"/>
      <c r="Y150" s="688"/>
      <c r="Z150" s="688"/>
      <c r="AA150" s="688"/>
      <c r="AB150" s="688"/>
      <c r="AC150" s="688"/>
      <c r="AD150" s="688"/>
      <c r="AE150" s="689"/>
      <c r="AF150" s="693"/>
      <c r="AG150" s="688"/>
      <c r="AH150" s="693"/>
      <c r="AI150" s="697">
        <v>1970</v>
      </c>
      <c r="AJ150" s="698" t="s">
        <v>1447</v>
      </c>
      <c r="AK150" s="699">
        <f>G150*1000</f>
        <v>54580</v>
      </c>
      <c r="AL150" s="685" t="s">
        <v>159</v>
      </c>
      <c r="AM150" s="699">
        <v>2500</v>
      </c>
      <c r="AN150" s="699">
        <v>1000</v>
      </c>
    </row>
    <row r="151" spans="1:40" x14ac:dyDescent="0.3">
      <c r="A151" s="669" t="s">
        <v>1448</v>
      </c>
      <c r="B151" s="686" t="e">
        <f>+B149+1</f>
        <v>#REF!</v>
      </c>
      <c r="C151" s="687">
        <v>150</v>
      </c>
      <c r="D151" s="688">
        <v>100</v>
      </c>
      <c r="E151" s="688">
        <v>235</v>
      </c>
      <c r="F151" s="689"/>
      <c r="G151" s="689">
        <v>49.79</v>
      </c>
      <c r="H151" s="690">
        <v>1</v>
      </c>
      <c r="I151" s="691">
        <f t="shared" si="16"/>
        <v>0</v>
      </c>
      <c r="J151" s="692">
        <f t="shared" si="17"/>
        <v>0</v>
      </c>
      <c r="K151" s="692">
        <v>0</v>
      </c>
      <c r="L151" s="692">
        <f t="shared" si="18"/>
        <v>0</v>
      </c>
      <c r="M151" s="693">
        <v>3.81</v>
      </c>
      <c r="N151" s="693">
        <v>0</v>
      </c>
      <c r="O151" s="691">
        <f t="shared" si="20"/>
        <v>0</v>
      </c>
      <c r="P151" s="688" t="s">
        <v>1449</v>
      </c>
      <c r="Q151" s="694">
        <v>5000</v>
      </c>
      <c r="R151" s="688" t="s">
        <v>886</v>
      </c>
      <c r="S151" s="688" t="e">
        <f>+#REF!</f>
        <v>#REF!</v>
      </c>
      <c r="T151" s="688" t="s">
        <v>1449</v>
      </c>
      <c r="U151" s="694">
        <v>5000</v>
      </c>
      <c r="V151" s="688" t="s">
        <v>886</v>
      </c>
      <c r="W151" s="695">
        <v>34366</v>
      </c>
      <c r="X151" s="696" t="s">
        <v>1450</v>
      </c>
      <c r="Y151" s="688" t="s">
        <v>1451</v>
      </c>
      <c r="Z151" s="688" t="s">
        <v>1452</v>
      </c>
      <c r="AA151" s="688" t="s">
        <v>891</v>
      </c>
      <c r="AB151" s="688" t="s">
        <v>891</v>
      </c>
      <c r="AC151" s="688"/>
      <c r="AD151" s="688"/>
      <c r="AE151" s="689">
        <v>7272304.9900000002</v>
      </c>
      <c r="AF151" s="693">
        <v>1.58</v>
      </c>
      <c r="AG151" s="688" t="s">
        <v>891</v>
      </c>
      <c r="AH151" s="693">
        <v>1.58</v>
      </c>
      <c r="AI151" s="697" t="s">
        <v>1450</v>
      </c>
      <c r="AJ151" s="698" t="s">
        <v>1453</v>
      </c>
      <c r="AK151" s="699">
        <f t="shared" ref="AK151:AK156" si="24">G151*900</f>
        <v>44811</v>
      </c>
      <c r="AL151" s="685" t="s">
        <v>159</v>
      </c>
      <c r="AM151" s="699">
        <v>2500</v>
      </c>
      <c r="AN151" s="699">
        <v>1000</v>
      </c>
    </row>
    <row r="152" spans="1:40" x14ac:dyDescent="0.3">
      <c r="B152" s="686"/>
      <c r="C152" s="687">
        <v>151</v>
      </c>
      <c r="D152" s="688"/>
      <c r="E152" s="688"/>
      <c r="F152" s="689"/>
      <c r="G152" s="689">
        <v>58.19</v>
      </c>
      <c r="H152" s="690"/>
      <c r="I152" s="691"/>
      <c r="J152" s="692"/>
      <c r="K152" s="692"/>
      <c r="L152" s="692"/>
      <c r="M152" s="693"/>
      <c r="N152" s="693"/>
      <c r="O152" s="691"/>
      <c r="P152" s="688" t="s">
        <v>1449</v>
      </c>
      <c r="Q152" s="694"/>
      <c r="R152" s="688"/>
      <c r="S152" s="688" t="e">
        <f>+#REF!</f>
        <v>#REF!</v>
      </c>
      <c r="T152" s="688"/>
      <c r="U152" s="694"/>
      <c r="V152" s="688"/>
      <c r="W152" s="695"/>
      <c r="X152" s="696"/>
      <c r="Y152" s="688"/>
      <c r="Z152" s="688"/>
      <c r="AA152" s="688"/>
      <c r="AB152" s="688"/>
      <c r="AC152" s="688"/>
      <c r="AD152" s="688"/>
      <c r="AE152" s="689"/>
      <c r="AF152" s="693"/>
      <c r="AG152" s="688"/>
      <c r="AH152" s="693"/>
      <c r="AI152" s="697">
        <v>1967</v>
      </c>
      <c r="AJ152" s="698" t="s">
        <v>1454</v>
      </c>
      <c r="AK152" s="699">
        <f t="shared" si="24"/>
        <v>52371</v>
      </c>
      <c r="AL152" s="685" t="s">
        <v>159</v>
      </c>
      <c r="AM152" s="699">
        <v>2500</v>
      </c>
      <c r="AN152" s="699">
        <v>1000</v>
      </c>
    </row>
    <row r="153" spans="1:40" x14ac:dyDescent="0.3">
      <c r="A153" s="669" t="s">
        <v>1455</v>
      </c>
      <c r="B153" s="686" t="e">
        <f>+B151+1</f>
        <v>#REF!</v>
      </c>
      <c r="C153" s="687">
        <v>152</v>
      </c>
      <c r="D153" s="688">
        <v>100</v>
      </c>
      <c r="E153" s="688">
        <v>235</v>
      </c>
      <c r="F153" s="689"/>
      <c r="G153" s="689">
        <v>55.49</v>
      </c>
      <c r="H153" s="690">
        <v>1</v>
      </c>
      <c r="I153" s="691">
        <f t="shared" si="16"/>
        <v>0</v>
      </c>
      <c r="J153" s="692">
        <f t="shared" si="17"/>
        <v>0</v>
      </c>
      <c r="K153" s="692">
        <v>0</v>
      </c>
      <c r="L153" s="692">
        <f t="shared" si="18"/>
        <v>0</v>
      </c>
      <c r="M153" s="693">
        <v>3.81</v>
      </c>
      <c r="N153" s="693">
        <v>0</v>
      </c>
      <c r="O153" s="691">
        <f t="shared" si="20"/>
        <v>0</v>
      </c>
      <c r="P153" s="688" t="s">
        <v>1456</v>
      </c>
      <c r="Q153" s="694">
        <v>5000</v>
      </c>
      <c r="R153" s="688" t="s">
        <v>886</v>
      </c>
      <c r="S153" s="688" t="e">
        <f>+#REF!</f>
        <v>#REF!</v>
      </c>
      <c r="T153" s="688" t="s">
        <v>1456</v>
      </c>
      <c r="U153" s="694">
        <v>5000</v>
      </c>
      <c r="V153" s="688" t="s">
        <v>886</v>
      </c>
      <c r="W153" s="695">
        <v>34772</v>
      </c>
      <c r="X153" s="696" t="s">
        <v>1450</v>
      </c>
      <c r="Y153" s="688" t="s">
        <v>1457</v>
      </c>
      <c r="Z153" s="688" t="s">
        <v>1458</v>
      </c>
      <c r="AA153" s="688" t="s">
        <v>891</v>
      </c>
      <c r="AB153" s="688" t="s">
        <v>891</v>
      </c>
      <c r="AC153" s="688"/>
      <c r="AD153" s="688"/>
      <c r="AE153" s="689">
        <v>8104844.4299999997</v>
      </c>
      <c r="AF153" s="693">
        <v>1.76</v>
      </c>
      <c r="AG153" s="688" t="s">
        <v>891</v>
      </c>
      <c r="AH153" s="693">
        <v>1.76</v>
      </c>
      <c r="AI153" s="697" t="s">
        <v>1450</v>
      </c>
      <c r="AJ153" s="698" t="s">
        <v>1459</v>
      </c>
      <c r="AK153" s="699">
        <f t="shared" si="24"/>
        <v>49941</v>
      </c>
      <c r="AL153" s="685" t="s">
        <v>159</v>
      </c>
      <c r="AM153" s="699">
        <v>2500</v>
      </c>
      <c r="AN153" s="699">
        <v>1000</v>
      </c>
    </row>
    <row r="154" spans="1:40" x14ac:dyDescent="0.3">
      <c r="A154" s="669" t="s">
        <v>1460</v>
      </c>
      <c r="B154" s="686" t="e">
        <f t="shared" si="23"/>
        <v>#REF!</v>
      </c>
      <c r="C154" s="687">
        <f t="shared" si="23"/>
        <v>153</v>
      </c>
      <c r="D154" s="688">
        <v>100</v>
      </c>
      <c r="E154" s="688">
        <v>236</v>
      </c>
      <c r="F154" s="689"/>
      <c r="G154" s="689">
        <v>69.650000000000006</v>
      </c>
      <c r="H154" s="690">
        <v>0.96599999999999997</v>
      </c>
      <c r="I154" s="691">
        <f t="shared" si="16"/>
        <v>0</v>
      </c>
      <c r="J154" s="692">
        <f t="shared" si="17"/>
        <v>0</v>
      </c>
      <c r="K154" s="692">
        <v>0</v>
      </c>
      <c r="L154" s="692">
        <f t="shared" si="18"/>
        <v>0</v>
      </c>
      <c r="M154" s="693">
        <v>3.81</v>
      </c>
      <c r="N154" s="693">
        <v>0</v>
      </c>
      <c r="O154" s="691">
        <f t="shared" si="20"/>
        <v>0</v>
      </c>
      <c r="P154" s="688" t="s">
        <v>1461</v>
      </c>
      <c r="Q154" s="694">
        <v>5000</v>
      </c>
      <c r="R154" s="688" t="s">
        <v>886</v>
      </c>
      <c r="S154" s="688" t="e">
        <f>+#REF!</f>
        <v>#REF!</v>
      </c>
      <c r="T154" s="688" t="s">
        <v>1461</v>
      </c>
      <c r="U154" s="694">
        <v>5000</v>
      </c>
      <c r="V154" s="688" t="s">
        <v>886</v>
      </c>
      <c r="W154" s="695">
        <v>35612</v>
      </c>
      <c r="X154" s="696" t="s">
        <v>1462</v>
      </c>
      <c r="Y154" s="688" t="s">
        <v>1463</v>
      </c>
      <c r="Z154" s="688" t="s">
        <v>1464</v>
      </c>
      <c r="AA154" s="688" t="s">
        <v>891</v>
      </c>
      <c r="AB154" s="688" t="s">
        <v>891</v>
      </c>
      <c r="AC154" s="688"/>
      <c r="AD154" s="688"/>
      <c r="AE154" s="689">
        <v>9868981.7599999998</v>
      </c>
      <c r="AF154" s="693">
        <v>6.52</v>
      </c>
      <c r="AG154" s="688" t="s">
        <v>891</v>
      </c>
      <c r="AH154" s="693">
        <v>3.25</v>
      </c>
      <c r="AI154" s="697" t="s">
        <v>1462</v>
      </c>
      <c r="AJ154" s="698" t="s">
        <v>1465</v>
      </c>
      <c r="AK154" s="699">
        <f t="shared" si="24"/>
        <v>62685.000000000007</v>
      </c>
      <c r="AL154" s="685" t="s">
        <v>159</v>
      </c>
      <c r="AM154" s="699">
        <v>2500</v>
      </c>
      <c r="AN154" s="699">
        <v>1000</v>
      </c>
    </row>
    <row r="155" spans="1:40" x14ac:dyDescent="0.3">
      <c r="B155" s="686"/>
      <c r="C155" s="687">
        <v>154</v>
      </c>
      <c r="D155" s="688"/>
      <c r="E155" s="688"/>
      <c r="F155" s="689"/>
      <c r="G155" s="689">
        <v>39.36</v>
      </c>
      <c r="H155" s="690"/>
      <c r="I155" s="691"/>
      <c r="J155" s="692"/>
      <c r="K155" s="692"/>
      <c r="L155" s="692"/>
      <c r="M155" s="693"/>
      <c r="N155" s="693"/>
      <c r="O155" s="691"/>
      <c r="P155" s="688" t="s">
        <v>1466</v>
      </c>
      <c r="Q155" s="694"/>
      <c r="R155" s="688"/>
      <c r="S155" s="688" t="e">
        <f>+#REF!</f>
        <v>#REF!</v>
      </c>
      <c r="T155" s="688"/>
      <c r="U155" s="694"/>
      <c r="V155" s="688"/>
      <c r="W155" s="695"/>
      <c r="X155" s="696"/>
      <c r="Y155" s="688"/>
      <c r="Z155" s="688"/>
      <c r="AA155" s="688"/>
      <c r="AB155" s="688"/>
      <c r="AC155" s="688"/>
      <c r="AD155" s="688"/>
      <c r="AE155" s="689"/>
      <c r="AF155" s="693"/>
      <c r="AG155" s="688"/>
      <c r="AH155" s="693"/>
      <c r="AI155" s="697">
        <v>1966</v>
      </c>
      <c r="AJ155" s="698" t="s">
        <v>1467</v>
      </c>
      <c r="AK155" s="699">
        <f t="shared" si="24"/>
        <v>35424</v>
      </c>
      <c r="AL155" s="685" t="s">
        <v>159</v>
      </c>
      <c r="AM155" s="699">
        <v>2500</v>
      </c>
      <c r="AN155" s="699">
        <v>1000</v>
      </c>
    </row>
    <row r="156" spans="1:40" x14ac:dyDescent="0.3">
      <c r="A156" s="669" t="s">
        <v>1468</v>
      </c>
      <c r="B156" s="686" t="e">
        <f>+B154+1</f>
        <v>#REF!</v>
      </c>
      <c r="C156" s="687">
        <v>155</v>
      </c>
      <c r="D156" s="688">
        <v>100</v>
      </c>
      <c r="E156" s="688">
        <v>233</v>
      </c>
      <c r="F156" s="689"/>
      <c r="G156" s="689">
        <v>70.02</v>
      </c>
      <c r="H156" s="690">
        <v>0.96599999999999997</v>
      </c>
      <c r="I156" s="691">
        <f t="shared" si="16"/>
        <v>0</v>
      </c>
      <c r="J156" s="692">
        <f t="shared" si="17"/>
        <v>0</v>
      </c>
      <c r="K156" s="692">
        <v>0</v>
      </c>
      <c r="L156" s="692">
        <f t="shared" si="18"/>
        <v>0</v>
      </c>
      <c r="M156" s="693">
        <v>3.81</v>
      </c>
      <c r="N156" s="693">
        <v>0</v>
      </c>
      <c r="O156" s="691">
        <f t="shared" si="20"/>
        <v>0</v>
      </c>
      <c r="P156" s="688" t="s">
        <v>1469</v>
      </c>
      <c r="Q156" s="694">
        <v>5000</v>
      </c>
      <c r="R156" s="688" t="s">
        <v>886</v>
      </c>
      <c r="S156" s="688" t="e">
        <f>+#REF!</f>
        <v>#REF!</v>
      </c>
      <c r="T156" s="688" t="s">
        <v>1470</v>
      </c>
      <c r="U156" s="694">
        <v>5000</v>
      </c>
      <c r="V156" s="688" t="s">
        <v>886</v>
      </c>
      <c r="W156" s="695">
        <v>35172</v>
      </c>
      <c r="X156" s="696" t="s">
        <v>1471</v>
      </c>
      <c r="Y156" s="688" t="s">
        <v>1472</v>
      </c>
      <c r="Z156" s="688" t="s">
        <v>1473</v>
      </c>
      <c r="AA156" s="688" t="s">
        <v>891</v>
      </c>
      <c r="AB156" s="688" t="s">
        <v>891</v>
      </c>
      <c r="AC156" s="688"/>
      <c r="AD156" s="688"/>
      <c r="AE156" s="689">
        <v>9795288.9100000001</v>
      </c>
      <c r="AF156" s="693">
        <v>6.49</v>
      </c>
      <c r="AG156" s="688" t="s">
        <v>891</v>
      </c>
      <c r="AH156" s="693">
        <v>2.16</v>
      </c>
      <c r="AI156" s="697" t="s">
        <v>1471</v>
      </c>
      <c r="AJ156" s="698" t="s">
        <v>1474</v>
      </c>
      <c r="AK156" s="699">
        <f t="shared" si="24"/>
        <v>63018</v>
      </c>
      <c r="AL156" s="685" t="s">
        <v>159</v>
      </c>
      <c r="AM156" s="699">
        <v>2500</v>
      </c>
      <c r="AN156" s="699">
        <v>1000</v>
      </c>
    </row>
    <row r="157" spans="1:40" x14ac:dyDescent="0.3">
      <c r="A157" s="669" t="s">
        <v>1475</v>
      </c>
      <c r="B157" s="686" t="e">
        <f t="shared" si="23"/>
        <v>#REF!</v>
      </c>
      <c r="C157" s="687">
        <f t="shared" si="23"/>
        <v>156</v>
      </c>
      <c r="D157" s="688">
        <v>100</v>
      </c>
      <c r="E157" s="688">
        <v>182</v>
      </c>
      <c r="F157" s="689"/>
      <c r="G157" s="689">
        <v>42.19</v>
      </c>
      <c r="H157" s="690">
        <v>1.024</v>
      </c>
      <c r="I157" s="691">
        <f t="shared" si="16"/>
        <v>0</v>
      </c>
      <c r="J157" s="692">
        <f t="shared" si="17"/>
        <v>0</v>
      </c>
      <c r="K157" s="692">
        <v>0</v>
      </c>
      <c r="L157" s="692">
        <f t="shared" si="18"/>
        <v>0</v>
      </c>
      <c r="M157" s="693">
        <v>1.91</v>
      </c>
      <c r="N157" s="693">
        <v>1.67</v>
      </c>
      <c r="O157" s="691">
        <f t="shared" si="20"/>
        <v>0</v>
      </c>
      <c r="P157" s="688" t="s">
        <v>1476</v>
      </c>
      <c r="Q157" s="694">
        <v>5251</v>
      </c>
      <c r="R157" s="688" t="s">
        <v>1477</v>
      </c>
      <c r="S157" s="688" t="e">
        <f>+#REF!</f>
        <v>#REF!</v>
      </c>
      <c r="T157" s="688" t="s">
        <v>1478</v>
      </c>
      <c r="U157" s="694">
        <v>5000</v>
      </c>
      <c r="V157" s="688" t="s">
        <v>886</v>
      </c>
      <c r="W157" s="695">
        <v>37941</v>
      </c>
      <c r="X157" s="696" t="s">
        <v>1168</v>
      </c>
      <c r="Y157" s="688" t="s">
        <v>1479</v>
      </c>
      <c r="Z157" s="688" t="s">
        <v>1480</v>
      </c>
      <c r="AA157" s="688" t="s">
        <v>891</v>
      </c>
      <c r="AB157" s="688" t="s">
        <v>891</v>
      </c>
      <c r="AC157" s="688"/>
      <c r="AD157" s="688"/>
      <c r="AE157" s="689">
        <v>4680823.78</v>
      </c>
      <c r="AF157" s="693">
        <v>14.46</v>
      </c>
      <c r="AG157" s="688" t="s">
        <v>891</v>
      </c>
      <c r="AH157" s="693">
        <v>14.46</v>
      </c>
      <c r="AI157" s="697" t="s">
        <v>1168</v>
      </c>
      <c r="AJ157" s="698" t="s">
        <v>1481</v>
      </c>
      <c r="AK157" s="699">
        <f>G157*800</f>
        <v>33752</v>
      </c>
      <c r="AL157" s="685" t="s">
        <v>160</v>
      </c>
      <c r="AM157" s="699">
        <v>2500</v>
      </c>
      <c r="AN157" s="699">
        <v>1000</v>
      </c>
    </row>
    <row r="158" spans="1:40" x14ac:dyDescent="0.3">
      <c r="B158" s="686"/>
      <c r="C158" s="687">
        <v>157</v>
      </c>
      <c r="D158" s="688"/>
      <c r="E158" s="688"/>
      <c r="F158" s="689"/>
      <c r="G158" s="689">
        <v>67.37</v>
      </c>
      <c r="H158" s="690"/>
      <c r="I158" s="691"/>
      <c r="J158" s="692"/>
      <c r="K158" s="692"/>
      <c r="L158" s="692"/>
      <c r="M158" s="693"/>
      <c r="N158" s="693"/>
      <c r="O158" s="691"/>
      <c r="P158" s="688" t="s">
        <v>1476</v>
      </c>
      <c r="Q158" s="694"/>
      <c r="R158" s="688"/>
      <c r="S158" s="688" t="e">
        <f>+#REF!</f>
        <v>#REF!</v>
      </c>
      <c r="T158" s="688"/>
      <c r="U158" s="694"/>
      <c r="V158" s="688"/>
      <c r="W158" s="695"/>
      <c r="X158" s="696"/>
      <c r="Y158" s="688"/>
      <c r="Z158" s="688"/>
      <c r="AA158" s="688"/>
      <c r="AB158" s="688"/>
      <c r="AC158" s="688"/>
      <c r="AD158" s="688"/>
      <c r="AE158" s="689"/>
      <c r="AF158" s="693"/>
      <c r="AG158" s="688"/>
      <c r="AH158" s="693"/>
      <c r="AI158" s="697">
        <v>1922</v>
      </c>
      <c r="AJ158" s="698" t="s">
        <v>1482</v>
      </c>
      <c r="AK158" s="699">
        <f>G158*800</f>
        <v>53896</v>
      </c>
      <c r="AL158" s="685" t="s">
        <v>160</v>
      </c>
      <c r="AM158" s="699">
        <v>2500</v>
      </c>
      <c r="AN158" s="699">
        <v>1000</v>
      </c>
    </row>
    <row r="159" spans="1:40" x14ac:dyDescent="0.3">
      <c r="B159" s="686"/>
      <c r="C159" s="687">
        <v>158</v>
      </c>
      <c r="D159" s="688"/>
      <c r="E159" s="688"/>
      <c r="F159" s="689"/>
      <c r="G159" s="689">
        <v>61.04</v>
      </c>
      <c r="H159" s="690"/>
      <c r="I159" s="691"/>
      <c r="J159" s="692"/>
      <c r="K159" s="692"/>
      <c r="L159" s="692"/>
      <c r="M159" s="693"/>
      <c r="N159" s="693"/>
      <c r="O159" s="691"/>
      <c r="P159" s="688" t="s">
        <v>1476</v>
      </c>
      <c r="Q159" s="694"/>
      <c r="R159" s="688"/>
      <c r="S159" s="688" t="e">
        <f>+#REF!</f>
        <v>#REF!</v>
      </c>
      <c r="T159" s="688"/>
      <c r="U159" s="694"/>
      <c r="V159" s="688"/>
      <c r="W159" s="695"/>
      <c r="X159" s="696"/>
      <c r="Y159" s="688"/>
      <c r="Z159" s="688"/>
      <c r="AA159" s="688"/>
      <c r="AB159" s="688"/>
      <c r="AC159" s="688"/>
      <c r="AD159" s="688"/>
      <c r="AE159" s="689"/>
      <c r="AF159" s="693"/>
      <c r="AG159" s="688"/>
      <c r="AH159" s="693"/>
      <c r="AI159" s="697">
        <v>1922</v>
      </c>
      <c r="AJ159" s="698" t="s">
        <v>1483</v>
      </c>
      <c r="AK159" s="699">
        <f>G159*800</f>
        <v>48832</v>
      </c>
      <c r="AL159" s="685" t="s">
        <v>160</v>
      </c>
      <c r="AM159" s="699">
        <v>2500</v>
      </c>
      <c r="AN159" s="699">
        <v>1000</v>
      </c>
    </row>
    <row r="160" spans="1:40" x14ac:dyDescent="0.3">
      <c r="B160" s="686"/>
      <c r="C160" s="687">
        <v>159</v>
      </c>
      <c r="D160" s="688"/>
      <c r="E160" s="688"/>
      <c r="F160" s="689"/>
      <c r="G160" s="689">
        <v>62.12</v>
      </c>
      <c r="H160" s="690"/>
      <c r="I160" s="691"/>
      <c r="J160" s="692"/>
      <c r="K160" s="692"/>
      <c r="L160" s="692"/>
      <c r="M160" s="693"/>
      <c r="N160" s="693"/>
      <c r="O160" s="691"/>
      <c r="P160" s="688" t="s">
        <v>1476</v>
      </c>
      <c r="Q160" s="694"/>
      <c r="R160" s="688"/>
      <c r="S160" s="688" t="e">
        <f>+#REF!</f>
        <v>#REF!</v>
      </c>
      <c r="T160" s="688"/>
      <c r="U160" s="694"/>
      <c r="V160" s="688"/>
      <c r="W160" s="695"/>
      <c r="X160" s="696"/>
      <c r="Y160" s="688"/>
      <c r="Z160" s="688"/>
      <c r="AA160" s="688"/>
      <c r="AB160" s="688"/>
      <c r="AC160" s="688"/>
      <c r="AD160" s="688"/>
      <c r="AE160" s="689"/>
      <c r="AF160" s="693"/>
      <c r="AG160" s="688"/>
      <c r="AH160" s="693"/>
      <c r="AI160" s="697">
        <v>1922</v>
      </c>
      <c r="AJ160" s="698" t="s">
        <v>1484</v>
      </c>
      <c r="AK160" s="699">
        <f>G160*800</f>
        <v>49696</v>
      </c>
      <c r="AL160" s="685" t="s">
        <v>160</v>
      </c>
      <c r="AM160" s="699">
        <v>2500</v>
      </c>
      <c r="AN160" s="699">
        <v>1000</v>
      </c>
    </row>
    <row r="161" spans="1:52" x14ac:dyDescent="0.3">
      <c r="B161" s="686"/>
      <c r="C161" s="687">
        <v>160</v>
      </c>
      <c r="D161" s="688"/>
      <c r="E161" s="688"/>
      <c r="F161" s="689"/>
      <c r="G161" s="689">
        <v>56.71</v>
      </c>
      <c r="H161" s="690"/>
      <c r="I161" s="691"/>
      <c r="J161" s="692"/>
      <c r="K161" s="692"/>
      <c r="L161" s="692"/>
      <c r="M161" s="693"/>
      <c r="N161" s="693"/>
      <c r="O161" s="691"/>
      <c r="P161" s="688" t="s">
        <v>1485</v>
      </c>
      <c r="Q161" s="694"/>
      <c r="R161" s="688"/>
      <c r="S161" s="688" t="e">
        <f>+#REF!</f>
        <v>#REF!</v>
      </c>
      <c r="T161" s="688"/>
      <c r="U161" s="694"/>
      <c r="V161" s="688"/>
      <c r="W161" s="695"/>
      <c r="X161" s="696"/>
      <c r="Y161" s="688"/>
      <c r="Z161" s="688"/>
      <c r="AA161" s="688"/>
      <c r="AB161" s="688"/>
      <c r="AC161" s="688"/>
      <c r="AD161" s="688"/>
      <c r="AE161" s="689"/>
      <c r="AF161" s="693"/>
      <c r="AG161" s="688"/>
      <c r="AH161" s="693"/>
      <c r="AI161" s="697">
        <v>2012</v>
      </c>
      <c r="AJ161" s="698" t="s">
        <v>1486</v>
      </c>
      <c r="AK161" s="699">
        <f>G161*1100</f>
        <v>62381</v>
      </c>
      <c r="AL161" s="685" t="s">
        <v>159</v>
      </c>
      <c r="AM161" s="699">
        <v>2500</v>
      </c>
      <c r="AN161" s="699">
        <v>1000</v>
      </c>
    </row>
    <row r="162" spans="1:52" x14ac:dyDescent="0.3">
      <c r="B162" s="686"/>
      <c r="C162" s="687">
        <v>161</v>
      </c>
      <c r="D162" s="688"/>
      <c r="E162" s="688"/>
      <c r="F162" s="689"/>
      <c r="G162" s="689">
        <v>104.51</v>
      </c>
      <c r="H162" s="690"/>
      <c r="I162" s="691"/>
      <c r="J162" s="692"/>
      <c r="K162" s="692"/>
      <c r="L162" s="692"/>
      <c r="M162" s="693"/>
      <c r="N162" s="693"/>
      <c r="O162" s="691"/>
      <c r="P162" s="688" t="s">
        <v>1485</v>
      </c>
      <c r="Q162" s="694"/>
      <c r="R162" s="688"/>
      <c r="S162" s="688" t="e">
        <f>+#REF!</f>
        <v>#REF!</v>
      </c>
      <c r="T162" s="688"/>
      <c r="U162" s="694"/>
      <c r="V162" s="688"/>
      <c r="W162" s="695"/>
      <c r="X162" s="696"/>
      <c r="Y162" s="688"/>
      <c r="Z162" s="688"/>
      <c r="AA162" s="688"/>
      <c r="AB162" s="688"/>
      <c r="AC162" s="688"/>
      <c r="AD162" s="688"/>
      <c r="AE162" s="689"/>
      <c r="AF162" s="693"/>
      <c r="AG162" s="688"/>
      <c r="AH162" s="693"/>
      <c r="AI162" s="697">
        <v>2012</v>
      </c>
      <c r="AJ162" s="698" t="s">
        <v>1487</v>
      </c>
      <c r="AK162" s="699">
        <f>G162*1100</f>
        <v>114961</v>
      </c>
      <c r="AL162" s="685" t="s">
        <v>159</v>
      </c>
      <c r="AM162" s="699">
        <v>2500</v>
      </c>
      <c r="AN162" s="699">
        <v>1000</v>
      </c>
    </row>
    <row r="163" spans="1:52" x14ac:dyDescent="0.3">
      <c r="A163" s="669" t="s">
        <v>1488</v>
      </c>
      <c r="B163" s="686" t="e">
        <f>+B157+1</f>
        <v>#REF!</v>
      </c>
      <c r="C163" s="687">
        <v>162</v>
      </c>
      <c r="D163" s="688">
        <v>100</v>
      </c>
      <c r="E163" s="688">
        <v>150</v>
      </c>
      <c r="F163" s="689"/>
      <c r="G163" s="689">
        <v>50.33</v>
      </c>
      <c r="H163" s="690">
        <v>1.0569999999999999</v>
      </c>
      <c r="I163" s="691">
        <f t="shared" si="16"/>
        <v>0</v>
      </c>
      <c r="J163" s="692">
        <f t="shared" si="17"/>
        <v>0</v>
      </c>
      <c r="K163" s="692">
        <v>0</v>
      </c>
      <c r="L163" s="692">
        <f t="shared" si="18"/>
        <v>0</v>
      </c>
      <c r="M163" s="693">
        <v>4.7625000000000002</v>
      </c>
      <c r="N163" s="693">
        <v>0</v>
      </c>
      <c r="O163" s="691">
        <f t="shared" si="20"/>
        <v>0</v>
      </c>
      <c r="P163" s="688" t="s">
        <v>1489</v>
      </c>
      <c r="Q163" s="694">
        <v>5250</v>
      </c>
      <c r="R163" s="688" t="s">
        <v>1490</v>
      </c>
      <c r="S163" s="688" t="e">
        <f>+#REF!</f>
        <v>#REF!</v>
      </c>
      <c r="T163" s="688" t="s">
        <v>1491</v>
      </c>
      <c r="U163" s="694">
        <v>5250</v>
      </c>
      <c r="V163" s="688" t="s">
        <v>1490</v>
      </c>
      <c r="W163" s="695">
        <v>35735</v>
      </c>
      <c r="X163" s="696" t="s">
        <v>1194</v>
      </c>
      <c r="Y163" s="688" t="s">
        <v>1492</v>
      </c>
      <c r="Z163" s="688" t="s">
        <v>1493</v>
      </c>
      <c r="AA163" s="688" t="s">
        <v>891</v>
      </c>
      <c r="AB163" s="688" t="s">
        <v>891</v>
      </c>
      <c r="AC163" s="688"/>
      <c r="AD163" s="688"/>
      <c r="AE163" s="689">
        <v>1395377.11</v>
      </c>
      <c r="AF163" s="693">
        <v>0</v>
      </c>
      <c r="AG163" s="688" t="s">
        <v>891</v>
      </c>
      <c r="AH163" s="693">
        <v>0</v>
      </c>
      <c r="AI163" s="697">
        <v>1922</v>
      </c>
      <c r="AJ163" s="698" t="s">
        <v>1494</v>
      </c>
      <c r="AK163" s="699">
        <f>G163*700</f>
        <v>35231</v>
      </c>
      <c r="AL163" s="685" t="s">
        <v>160</v>
      </c>
      <c r="AM163" s="699">
        <v>2500</v>
      </c>
      <c r="AN163" s="699">
        <v>1000</v>
      </c>
    </row>
    <row r="164" spans="1:52" x14ac:dyDescent="0.3">
      <c r="A164" s="669" t="s">
        <v>1495</v>
      </c>
      <c r="B164" s="686" t="e">
        <f t="shared" ref="B164:C178" si="25">+B163+1</f>
        <v>#REF!</v>
      </c>
      <c r="C164" s="687">
        <f t="shared" si="25"/>
        <v>163</v>
      </c>
      <c r="D164" s="688">
        <v>100</v>
      </c>
      <c r="E164" s="688">
        <v>188</v>
      </c>
      <c r="F164" s="689"/>
      <c r="G164" s="689">
        <v>47.77</v>
      </c>
      <c r="H164" s="690">
        <v>1</v>
      </c>
      <c r="I164" s="691">
        <f t="shared" si="16"/>
        <v>0</v>
      </c>
      <c r="J164" s="692">
        <f t="shared" si="17"/>
        <v>0</v>
      </c>
      <c r="K164" s="692">
        <v>0</v>
      </c>
      <c r="L164" s="692">
        <f t="shared" si="18"/>
        <v>0</v>
      </c>
      <c r="M164" s="693">
        <v>5.08</v>
      </c>
      <c r="N164" s="693">
        <v>0</v>
      </c>
      <c r="O164" s="691">
        <f t="shared" si="20"/>
        <v>0</v>
      </c>
      <c r="P164" s="688" t="s">
        <v>1489</v>
      </c>
      <c r="Q164" s="694">
        <v>5250</v>
      </c>
      <c r="R164" s="688" t="s">
        <v>1490</v>
      </c>
      <c r="S164" s="688" t="e">
        <f>+#REF!</f>
        <v>#REF!</v>
      </c>
      <c r="T164" s="688" t="s">
        <v>1496</v>
      </c>
      <c r="U164" s="694">
        <v>5250</v>
      </c>
      <c r="V164" s="688" t="s">
        <v>1490</v>
      </c>
      <c r="W164" s="695">
        <v>37135</v>
      </c>
      <c r="X164" s="696" t="s">
        <v>1497</v>
      </c>
      <c r="Y164" s="688" t="s">
        <v>1498</v>
      </c>
      <c r="Z164" s="688" t="s">
        <v>1499</v>
      </c>
      <c r="AA164" s="688" t="s">
        <v>891</v>
      </c>
      <c r="AB164" s="688" t="s">
        <v>891</v>
      </c>
      <c r="AC164" s="688"/>
      <c r="AD164" s="688"/>
      <c r="AE164" s="689">
        <v>5581811.7599999998</v>
      </c>
      <c r="AF164" s="693">
        <v>9.11</v>
      </c>
      <c r="AG164" s="688" t="s">
        <v>891</v>
      </c>
      <c r="AH164" s="693">
        <v>9.11</v>
      </c>
      <c r="AI164" s="697">
        <v>1922</v>
      </c>
      <c r="AJ164" s="698" t="s">
        <v>1500</v>
      </c>
      <c r="AK164" s="699">
        <f t="shared" ref="AK164:AK178" si="26">G164*700</f>
        <v>33439</v>
      </c>
      <c r="AL164" s="685" t="s">
        <v>160</v>
      </c>
      <c r="AM164" s="699">
        <v>2500</v>
      </c>
      <c r="AN164" s="699">
        <v>1000</v>
      </c>
    </row>
    <row r="165" spans="1:52" x14ac:dyDescent="0.3">
      <c r="A165" s="669" t="s">
        <v>1501</v>
      </c>
      <c r="B165" s="686" t="e">
        <f t="shared" si="25"/>
        <v>#REF!</v>
      </c>
      <c r="C165" s="687">
        <f t="shared" si="25"/>
        <v>164</v>
      </c>
      <c r="D165" s="688">
        <v>100</v>
      </c>
      <c r="E165" s="688">
        <v>195</v>
      </c>
      <c r="F165" s="689"/>
      <c r="G165" s="689">
        <v>71</v>
      </c>
      <c r="H165" s="690">
        <v>0.95</v>
      </c>
      <c r="I165" s="691">
        <f t="shared" si="16"/>
        <v>0</v>
      </c>
      <c r="J165" s="692">
        <f t="shared" si="17"/>
        <v>0</v>
      </c>
      <c r="K165" s="692">
        <v>0</v>
      </c>
      <c r="L165" s="692">
        <f t="shared" si="18"/>
        <v>0</v>
      </c>
      <c r="M165" s="693">
        <v>3.81</v>
      </c>
      <c r="N165" s="693">
        <v>0</v>
      </c>
      <c r="O165" s="691">
        <f t="shared" si="20"/>
        <v>0</v>
      </c>
      <c r="P165" s="688" t="s">
        <v>1489</v>
      </c>
      <c r="Q165" s="694">
        <v>5250</v>
      </c>
      <c r="R165" s="688" t="s">
        <v>1490</v>
      </c>
      <c r="S165" s="688" t="e">
        <f>+#REF!</f>
        <v>#REF!</v>
      </c>
      <c r="T165" s="688" t="s">
        <v>1489</v>
      </c>
      <c r="U165" s="694">
        <v>5250</v>
      </c>
      <c r="V165" s="688" t="s">
        <v>1490</v>
      </c>
      <c r="W165" s="695">
        <v>34335</v>
      </c>
      <c r="X165" s="696" t="s">
        <v>1502</v>
      </c>
      <c r="Y165" s="688" t="s">
        <v>1503</v>
      </c>
      <c r="Z165" s="688" t="s">
        <v>1504</v>
      </c>
      <c r="AA165" s="688" t="s">
        <v>891</v>
      </c>
      <c r="AB165" s="688" t="s">
        <v>891</v>
      </c>
      <c r="AC165" s="688"/>
      <c r="AD165" s="688"/>
      <c r="AE165" s="689">
        <v>8174828.71</v>
      </c>
      <c r="AF165" s="693">
        <v>13.56</v>
      </c>
      <c r="AG165" s="688" t="s">
        <v>891</v>
      </c>
      <c r="AH165" s="693">
        <v>13.56</v>
      </c>
      <c r="AI165" s="697">
        <v>1922</v>
      </c>
      <c r="AJ165" s="698" t="s">
        <v>1505</v>
      </c>
      <c r="AK165" s="699">
        <f t="shared" si="26"/>
        <v>49700</v>
      </c>
      <c r="AL165" s="685" t="s">
        <v>160</v>
      </c>
      <c r="AM165" s="699">
        <v>2500</v>
      </c>
      <c r="AN165" s="699">
        <v>1000</v>
      </c>
      <c r="AO165" s="729"/>
      <c r="AP165" s="729"/>
      <c r="AQ165" s="729"/>
      <c r="AR165" s="729"/>
      <c r="AS165" s="729"/>
      <c r="AT165" s="729"/>
      <c r="AU165" s="729"/>
      <c r="AV165" s="729"/>
      <c r="AW165" s="729"/>
      <c r="AX165" s="729"/>
      <c r="AY165" s="729"/>
      <c r="AZ165" s="729"/>
    </row>
    <row r="166" spans="1:52" x14ac:dyDescent="0.3">
      <c r="A166" s="730" t="s">
        <v>1506</v>
      </c>
      <c r="B166" s="686" t="e">
        <f t="shared" si="25"/>
        <v>#REF!</v>
      </c>
      <c r="C166" s="687">
        <f t="shared" si="25"/>
        <v>165</v>
      </c>
      <c r="D166" s="688">
        <v>100</v>
      </c>
      <c r="E166" s="688">
        <v>205</v>
      </c>
      <c r="F166" s="689"/>
      <c r="G166" s="689">
        <v>68.5</v>
      </c>
      <c r="H166" s="690">
        <v>1</v>
      </c>
      <c r="I166" s="691">
        <f t="shared" si="16"/>
        <v>0</v>
      </c>
      <c r="J166" s="692">
        <f t="shared" si="17"/>
        <v>0</v>
      </c>
      <c r="K166" s="692">
        <v>0</v>
      </c>
      <c r="L166" s="692">
        <f t="shared" si="18"/>
        <v>0</v>
      </c>
      <c r="M166" s="693">
        <v>3.81</v>
      </c>
      <c r="N166" s="693">
        <v>0</v>
      </c>
      <c r="O166" s="691">
        <f t="shared" si="20"/>
        <v>0</v>
      </c>
      <c r="P166" s="688" t="s">
        <v>1489</v>
      </c>
      <c r="Q166" s="694">
        <v>5250</v>
      </c>
      <c r="R166" s="688" t="s">
        <v>1490</v>
      </c>
      <c r="S166" s="688" t="e">
        <f>+#REF!</f>
        <v>#REF!</v>
      </c>
      <c r="T166" s="688" t="s">
        <v>1489</v>
      </c>
      <c r="U166" s="694">
        <v>5250</v>
      </c>
      <c r="V166" s="688" t="s">
        <v>1490</v>
      </c>
      <c r="W166" s="695">
        <v>34335</v>
      </c>
      <c r="X166" s="696" t="s">
        <v>1502</v>
      </c>
      <c r="Y166" s="688" t="s">
        <v>1507</v>
      </c>
      <c r="Z166" s="688" t="s">
        <v>1508</v>
      </c>
      <c r="AA166" s="688" t="s">
        <v>891</v>
      </c>
      <c r="AB166" s="688" t="s">
        <v>891</v>
      </c>
      <c r="AC166" s="688"/>
      <c r="AD166" s="688"/>
      <c r="AE166" s="689">
        <v>8218180.4299999997</v>
      </c>
      <c r="AF166" s="693">
        <v>13.63</v>
      </c>
      <c r="AG166" s="688" t="s">
        <v>891</v>
      </c>
      <c r="AH166" s="693">
        <v>13.63</v>
      </c>
      <c r="AI166" s="697">
        <v>1922</v>
      </c>
      <c r="AJ166" s="698" t="s">
        <v>1509</v>
      </c>
      <c r="AK166" s="699">
        <f t="shared" si="26"/>
        <v>47950</v>
      </c>
      <c r="AL166" s="685" t="s">
        <v>160</v>
      </c>
      <c r="AM166" s="699">
        <v>2500</v>
      </c>
      <c r="AN166" s="699">
        <v>1000</v>
      </c>
    </row>
    <row r="167" spans="1:52" x14ac:dyDescent="0.3">
      <c r="A167" s="669" t="s">
        <v>1510</v>
      </c>
      <c r="B167" s="686" t="e">
        <f t="shared" si="25"/>
        <v>#REF!</v>
      </c>
      <c r="C167" s="687">
        <f t="shared" si="25"/>
        <v>166</v>
      </c>
      <c r="D167" s="688">
        <v>100</v>
      </c>
      <c r="E167" s="688">
        <v>218</v>
      </c>
      <c r="F167" s="689"/>
      <c r="G167" s="689">
        <v>32.81</v>
      </c>
      <c r="H167" s="690">
        <v>1.024</v>
      </c>
      <c r="I167" s="691">
        <f t="shared" si="16"/>
        <v>0</v>
      </c>
      <c r="J167" s="692">
        <f t="shared" si="17"/>
        <v>0</v>
      </c>
      <c r="K167" s="692">
        <v>0</v>
      </c>
      <c r="L167" s="692">
        <f t="shared" si="18"/>
        <v>0</v>
      </c>
      <c r="M167" s="693">
        <v>3.81</v>
      </c>
      <c r="N167" s="693">
        <v>0</v>
      </c>
      <c r="O167" s="691">
        <f t="shared" si="20"/>
        <v>0</v>
      </c>
      <c r="P167" s="688" t="s">
        <v>1489</v>
      </c>
      <c r="Q167" s="694">
        <v>5250</v>
      </c>
      <c r="R167" s="688" t="s">
        <v>1490</v>
      </c>
      <c r="S167" s="688" t="e">
        <f>+#REF!</f>
        <v>#REF!</v>
      </c>
      <c r="T167" s="688" t="s">
        <v>1489</v>
      </c>
      <c r="U167" s="694">
        <v>5250</v>
      </c>
      <c r="V167" s="688" t="s">
        <v>1490</v>
      </c>
      <c r="W167" s="695">
        <v>36130</v>
      </c>
      <c r="X167" s="696" t="s">
        <v>1502</v>
      </c>
      <c r="Y167" s="688" t="s">
        <v>1511</v>
      </c>
      <c r="Z167" s="688" t="s">
        <v>1512</v>
      </c>
      <c r="AA167" s="688" t="s">
        <v>891</v>
      </c>
      <c r="AB167" s="688" t="s">
        <v>891</v>
      </c>
      <c r="AC167" s="688"/>
      <c r="AD167" s="688"/>
      <c r="AE167" s="689">
        <v>4552236.08</v>
      </c>
      <c r="AF167" s="693">
        <v>9.5399999999999991</v>
      </c>
      <c r="AG167" s="688" t="s">
        <v>891</v>
      </c>
      <c r="AH167" s="693">
        <v>9.5399999999999991</v>
      </c>
      <c r="AI167" s="697">
        <v>1922</v>
      </c>
      <c r="AJ167" s="698" t="s">
        <v>1513</v>
      </c>
      <c r="AK167" s="699">
        <f t="shared" si="26"/>
        <v>22967</v>
      </c>
      <c r="AL167" s="685" t="s">
        <v>160</v>
      </c>
      <c r="AM167" s="699">
        <v>2500</v>
      </c>
      <c r="AN167" s="699">
        <v>1000</v>
      </c>
    </row>
    <row r="168" spans="1:52" x14ac:dyDescent="0.3">
      <c r="A168" s="669" t="s">
        <v>1514</v>
      </c>
      <c r="B168" s="686" t="e">
        <f t="shared" si="25"/>
        <v>#REF!</v>
      </c>
      <c r="C168" s="687">
        <f t="shared" si="25"/>
        <v>167</v>
      </c>
      <c r="D168" s="688">
        <v>100</v>
      </c>
      <c r="E168" s="688">
        <v>240</v>
      </c>
      <c r="F168" s="689"/>
      <c r="G168" s="689">
        <v>43.81</v>
      </c>
      <c r="H168" s="690">
        <v>1</v>
      </c>
      <c r="I168" s="691">
        <f t="shared" si="16"/>
        <v>0</v>
      </c>
      <c r="J168" s="692">
        <f t="shared" si="17"/>
        <v>0</v>
      </c>
      <c r="K168" s="692">
        <v>0</v>
      </c>
      <c r="L168" s="692">
        <f t="shared" si="18"/>
        <v>0</v>
      </c>
      <c r="M168" s="693">
        <v>1.91</v>
      </c>
      <c r="N168" s="693">
        <v>1.67</v>
      </c>
      <c r="O168" s="691">
        <f t="shared" si="20"/>
        <v>0</v>
      </c>
      <c r="P168" s="688" t="s">
        <v>1489</v>
      </c>
      <c r="Q168" s="694">
        <v>5250</v>
      </c>
      <c r="R168" s="688" t="s">
        <v>1490</v>
      </c>
      <c r="S168" s="688" t="e">
        <f>+#REF!</f>
        <v>#REF!</v>
      </c>
      <c r="T168" s="688" t="s">
        <v>1496</v>
      </c>
      <c r="U168" s="694">
        <v>5250</v>
      </c>
      <c r="V168" s="688" t="s">
        <v>1490</v>
      </c>
      <c r="W168" s="695">
        <v>36022</v>
      </c>
      <c r="X168" s="696" t="s">
        <v>1502</v>
      </c>
      <c r="Y168" s="688" t="s">
        <v>1515</v>
      </c>
      <c r="Z168" s="688" t="s">
        <v>1516</v>
      </c>
      <c r="AA168" s="688" t="s">
        <v>891</v>
      </c>
      <c r="AB168" s="688" t="s">
        <v>891</v>
      </c>
      <c r="AC168" s="688"/>
      <c r="AD168" s="688"/>
      <c r="AE168" s="689">
        <v>6535015.0300000003</v>
      </c>
      <c r="AF168" s="693">
        <v>9.2899999999999991</v>
      </c>
      <c r="AG168" s="688" t="s">
        <v>891</v>
      </c>
      <c r="AH168" s="693">
        <v>9.2899999999999991</v>
      </c>
      <c r="AI168" s="697">
        <v>1922</v>
      </c>
      <c r="AJ168" s="698" t="s">
        <v>1517</v>
      </c>
      <c r="AK168" s="699">
        <f t="shared" si="26"/>
        <v>30667</v>
      </c>
      <c r="AL168" s="685" t="s">
        <v>160</v>
      </c>
      <c r="AM168" s="699">
        <v>2500</v>
      </c>
      <c r="AN168" s="699">
        <v>1000</v>
      </c>
    </row>
    <row r="169" spans="1:52" x14ac:dyDescent="0.3">
      <c r="A169" s="669" t="s">
        <v>1518</v>
      </c>
      <c r="B169" s="686" t="e">
        <f t="shared" si="25"/>
        <v>#REF!</v>
      </c>
      <c r="C169" s="687">
        <f t="shared" si="25"/>
        <v>168</v>
      </c>
      <c r="D169" s="688">
        <v>100</v>
      </c>
      <c r="E169" s="688">
        <v>215</v>
      </c>
      <c r="F169" s="689"/>
      <c r="G169" s="689">
        <v>51.63</v>
      </c>
      <c r="H169" s="690">
        <v>1</v>
      </c>
      <c r="I169" s="691">
        <f t="shared" si="16"/>
        <v>0</v>
      </c>
      <c r="J169" s="692">
        <f t="shared" si="17"/>
        <v>0</v>
      </c>
      <c r="K169" s="692">
        <v>0</v>
      </c>
      <c r="L169" s="692">
        <f t="shared" si="18"/>
        <v>0</v>
      </c>
      <c r="M169" s="693">
        <v>3.81</v>
      </c>
      <c r="N169" s="693"/>
      <c r="O169" s="691">
        <f t="shared" si="20"/>
        <v>0</v>
      </c>
      <c r="P169" s="688" t="s">
        <v>1489</v>
      </c>
      <c r="Q169" s="694">
        <v>5250</v>
      </c>
      <c r="R169" s="688" t="s">
        <v>1490</v>
      </c>
      <c r="S169" s="688" t="e">
        <f>+#REF!</f>
        <v>#REF!</v>
      </c>
      <c r="T169" s="688" t="s">
        <v>1489</v>
      </c>
      <c r="U169" s="694">
        <v>5250</v>
      </c>
      <c r="V169" s="688" t="s">
        <v>1490</v>
      </c>
      <c r="W169" s="695">
        <v>34335</v>
      </c>
      <c r="X169" s="696" t="s">
        <v>1502</v>
      </c>
      <c r="Y169" s="688" t="s">
        <v>1519</v>
      </c>
      <c r="Z169" s="688" t="s">
        <v>1520</v>
      </c>
      <c r="AA169" s="688" t="s">
        <v>891</v>
      </c>
      <c r="AB169" s="688" t="s">
        <v>891</v>
      </c>
      <c r="AC169" s="688"/>
      <c r="AD169" s="688"/>
      <c r="AE169" s="689">
        <v>6899262.6900000004</v>
      </c>
      <c r="AF169" s="693">
        <v>6.32</v>
      </c>
      <c r="AG169" s="688" t="s">
        <v>891</v>
      </c>
      <c r="AH169" s="693">
        <v>6.32</v>
      </c>
      <c r="AI169" s="697">
        <v>1922</v>
      </c>
      <c r="AJ169" s="698" t="s">
        <v>1521</v>
      </c>
      <c r="AK169" s="699">
        <f t="shared" si="26"/>
        <v>36141</v>
      </c>
      <c r="AL169" s="685" t="s">
        <v>160</v>
      </c>
      <c r="AM169" s="699">
        <v>2500</v>
      </c>
      <c r="AN169" s="699">
        <v>1000</v>
      </c>
    </row>
    <row r="170" spans="1:52" x14ac:dyDescent="0.3">
      <c r="A170" s="669" t="s">
        <v>1522</v>
      </c>
      <c r="B170" s="686" t="e">
        <f t="shared" si="25"/>
        <v>#REF!</v>
      </c>
      <c r="C170" s="687">
        <f t="shared" si="25"/>
        <v>169</v>
      </c>
      <c r="D170" s="688">
        <v>100</v>
      </c>
      <c r="E170" s="688">
        <v>230</v>
      </c>
      <c r="F170" s="689"/>
      <c r="G170" s="689">
        <v>52.05</v>
      </c>
      <c r="H170" s="690">
        <v>1</v>
      </c>
      <c r="I170" s="691">
        <f t="shared" si="16"/>
        <v>0</v>
      </c>
      <c r="J170" s="692">
        <f t="shared" si="17"/>
        <v>0</v>
      </c>
      <c r="K170" s="692">
        <v>0</v>
      </c>
      <c r="L170" s="692">
        <f t="shared" si="18"/>
        <v>0</v>
      </c>
      <c r="M170" s="693">
        <v>1.3943700000000001</v>
      </c>
      <c r="N170" s="693">
        <v>1.21916</v>
      </c>
      <c r="O170" s="691">
        <f t="shared" si="20"/>
        <v>0</v>
      </c>
      <c r="P170" s="688" t="s">
        <v>1489</v>
      </c>
      <c r="Q170" s="694">
        <v>5250</v>
      </c>
      <c r="R170" s="688" t="s">
        <v>1490</v>
      </c>
      <c r="S170" s="688" t="e">
        <f>+#REF!</f>
        <v>#REF!</v>
      </c>
      <c r="T170" s="688" t="s">
        <v>1496</v>
      </c>
      <c r="U170" s="694">
        <v>5250</v>
      </c>
      <c r="V170" s="688" t="s">
        <v>1490</v>
      </c>
      <c r="W170" s="695">
        <v>35930</v>
      </c>
      <c r="X170" s="696" t="s">
        <v>1502</v>
      </c>
      <c r="Y170" s="688" t="s">
        <v>1523</v>
      </c>
      <c r="Z170" s="688" t="s">
        <v>1524</v>
      </c>
      <c r="AA170" s="688" t="s">
        <v>891</v>
      </c>
      <c r="AB170" s="688" t="s">
        <v>891</v>
      </c>
      <c r="AC170" s="688"/>
      <c r="AD170" s="688"/>
      <c r="AE170" s="689">
        <v>7440646.4000000004</v>
      </c>
      <c r="AF170" s="693">
        <v>10.29</v>
      </c>
      <c r="AG170" s="688" t="s">
        <v>891</v>
      </c>
      <c r="AH170" s="693">
        <v>10.29</v>
      </c>
      <c r="AI170" s="697">
        <v>1922</v>
      </c>
      <c r="AJ170" s="698" t="s">
        <v>1525</v>
      </c>
      <c r="AK170" s="699">
        <f t="shared" si="26"/>
        <v>36435</v>
      </c>
      <c r="AL170" s="685" t="s">
        <v>160</v>
      </c>
      <c r="AM170" s="699">
        <v>2500</v>
      </c>
      <c r="AN170" s="699">
        <v>1000</v>
      </c>
    </row>
    <row r="171" spans="1:52" x14ac:dyDescent="0.3">
      <c r="A171" s="669" t="s">
        <v>1526</v>
      </c>
      <c r="B171" s="686" t="e">
        <f t="shared" si="25"/>
        <v>#REF!</v>
      </c>
      <c r="C171" s="687">
        <f t="shared" si="25"/>
        <v>170</v>
      </c>
      <c r="D171" s="688">
        <v>100</v>
      </c>
      <c r="E171" s="688">
        <v>195</v>
      </c>
      <c r="F171" s="689"/>
      <c r="G171" s="689">
        <v>41.73</v>
      </c>
      <c r="H171" s="690">
        <v>1</v>
      </c>
      <c r="I171" s="691">
        <f t="shared" si="16"/>
        <v>0</v>
      </c>
      <c r="J171" s="692">
        <f t="shared" si="17"/>
        <v>0</v>
      </c>
      <c r="K171" s="692">
        <v>0</v>
      </c>
      <c r="L171" s="692">
        <f t="shared" si="18"/>
        <v>0</v>
      </c>
      <c r="M171" s="693">
        <v>3.81</v>
      </c>
      <c r="N171" s="693">
        <v>0</v>
      </c>
      <c r="O171" s="691">
        <f t="shared" si="20"/>
        <v>0</v>
      </c>
      <c r="P171" s="688" t="s">
        <v>1489</v>
      </c>
      <c r="Q171" s="694">
        <v>5250</v>
      </c>
      <c r="R171" s="688" t="s">
        <v>1490</v>
      </c>
      <c r="S171" s="688" t="e">
        <f>+#REF!</f>
        <v>#REF!</v>
      </c>
      <c r="T171" s="688" t="s">
        <v>1489</v>
      </c>
      <c r="U171" s="694">
        <v>5250</v>
      </c>
      <c r="V171" s="688" t="s">
        <v>1490</v>
      </c>
      <c r="W171" s="695">
        <v>34335</v>
      </c>
      <c r="X171" s="696" t="s">
        <v>1502</v>
      </c>
      <c r="Y171" s="688" t="s">
        <v>1527</v>
      </c>
      <c r="Z171" s="688" t="s">
        <v>1528</v>
      </c>
      <c r="AA171" s="688" t="s">
        <v>891</v>
      </c>
      <c r="AB171" s="688" t="s">
        <v>891</v>
      </c>
      <c r="AC171" s="688"/>
      <c r="AD171" s="688"/>
      <c r="AE171" s="689">
        <v>5057607.1500000004</v>
      </c>
      <c r="AF171" s="693">
        <v>8.39</v>
      </c>
      <c r="AG171" s="688" t="s">
        <v>891</v>
      </c>
      <c r="AH171" s="693">
        <v>8.39</v>
      </c>
      <c r="AI171" s="697">
        <v>1922</v>
      </c>
      <c r="AJ171" s="698" t="s">
        <v>1529</v>
      </c>
      <c r="AK171" s="699">
        <f t="shared" si="26"/>
        <v>29210.999999999996</v>
      </c>
      <c r="AL171" s="685" t="s">
        <v>160</v>
      </c>
      <c r="AM171" s="699">
        <v>2500</v>
      </c>
      <c r="AN171" s="699">
        <v>1000</v>
      </c>
    </row>
    <row r="172" spans="1:52" x14ac:dyDescent="0.3">
      <c r="B172" s="686"/>
      <c r="C172" s="687">
        <v>171</v>
      </c>
      <c r="D172" s="688"/>
      <c r="E172" s="688"/>
      <c r="F172" s="689"/>
      <c r="G172" s="689">
        <v>78.14</v>
      </c>
      <c r="H172" s="690"/>
      <c r="I172" s="691"/>
      <c r="J172" s="692"/>
      <c r="K172" s="692"/>
      <c r="L172" s="692"/>
      <c r="M172" s="693"/>
      <c r="N172" s="693"/>
      <c r="O172" s="691"/>
      <c r="P172" s="688" t="s">
        <v>1489</v>
      </c>
      <c r="Q172" s="694"/>
      <c r="R172" s="688"/>
      <c r="S172" s="688" t="e">
        <f>+#REF!</f>
        <v>#REF!</v>
      </c>
      <c r="T172" s="688"/>
      <c r="U172" s="694"/>
      <c r="V172" s="688"/>
      <c r="W172" s="695"/>
      <c r="X172" s="696"/>
      <c r="Y172" s="688"/>
      <c r="Z172" s="688"/>
      <c r="AA172" s="688"/>
      <c r="AB172" s="688"/>
      <c r="AC172" s="688"/>
      <c r="AD172" s="688"/>
      <c r="AE172" s="689"/>
      <c r="AF172" s="693"/>
      <c r="AG172" s="688"/>
      <c r="AH172" s="693"/>
      <c r="AI172" s="697">
        <v>1922</v>
      </c>
      <c r="AJ172" s="698" t="s">
        <v>1530</v>
      </c>
      <c r="AK172" s="699">
        <f t="shared" si="26"/>
        <v>54698</v>
      </c>
      <c r="AL172" s="685" t="s">
        <v>160</v>
      </c>
      <c r="AM172" s="699">
        <v>2500</v>
      </c>
      <c r="AN172" s="699">
        <v>1000</v>
      </c>
    </row>
    <row r="173" spans="1:52" x14ac:dyDescent="0.3">
      <c r="B173" s="686"/>
      <c r="C173" s="687">
        <v>172</v>
      </c>
      <c r="D173" s="688"/>
      <c r="E173" s="688"/>
      <c r="F173" s="689"/>
      <c r="G173" s="689">
        <v>77.56</v>
      </c>
      <c r="H173" s="690"/>
      <c r="I173" s="691"/>
      <c r="J173" s="692"/>
      <c r="K173" s="692"/>
      <c r="L173" s="692"/>
      <c r="M173" s="693"/>
      <c r="N173" s="693"/>
      <c r="O173" s="691"/>
      <c r="P173" s="688" t="s">
        <v>1496</v>
      </c>
      <c r="Q173" s="694"/>
      <c r="R173" s="688"/>
      <c r="S173" s="688" t="e">
        <f>+#REF!</f>
        <v>#REF!</v>
      </c>
      <c r="T173" s="688"/>
      <c r="U173" s="694"/>
      <c r="V173" s="688"/>
      <c r="W173" s="695"/>
      <c r="X173" s="696"/>
      <c r="Y173" s="688"/>
      <c r="Z173" s="688"/>
      <c r="AA173" s="688"/>
      <c r="AB173" s="688"/>
      <c r="AC173" s="688"/>
      <c r="AD173" s="688"/>
      <c r="AE173" s="689"/>
      <c r="AF173" s="693"/>
      <c r="AG173" s="688"/>
      <c r="AH173" s="693"/>
      <c r="AI173" s="697">
        <v>1922</v>
      </c>
      <c r="AJ173" s="698" t="s">
        <v>1531</v>
      </c>
      <c r="AK173" s="699">
        <f t="shared" si="26"/>
        <v>54292</v>
      </c>
      <c r="AL173" s="685" t="s">
        <v>160</v>
      </c>
      <c r="AM173" s="699">
        <v>2500</v>
      </c>
      <c r="AN173" s="699">
        <v>1000</v>
      </c>
    </row>
    <row r="174" spans="1:52" x14ac:dyDescent="0.3">
      <c r="A174" s="669" t="s">
        <v>1532</v>
      </c>
      <c r="B174" s="686" t="e">
        <f>+B171+1</f>
        <v>#REF!</v>
      </c>
      <c r="C174" s="687">
        <v>173</v>
      </c>
      <c r="D174" s="688">
        <v>100</v>
      </c>
      <c r="E174" s="688">
        <v>184</v>
      </c>
      <c r="F174" s="689"/>
      <c r="G174" s="689">
        <v>40.93</v>
      </c>
      <c r="H174" s="690">
        <v>1</v>
      </c>
      <c r="I174" s="691">
        <f t="shared" si="16"/>
        <v>0</v>
      </c>
      <c r="J174" s="692">
        <f t="shared" si="17"/>
        <v>0</v>
      </c>
      <c r="K174" s="692">
        <v>0</v>
      </c>
      <c r="L174" s="692">
        <f t="shared" si="18"/>
        <v>0</v>
      </c>
      <c r="M174" s="693">
        <v>2.31</v>
      </c>
      <c r="N174" s="693">
        <v>0</v>
      </c>
      <c r="O174" s="691">
        <f t="shared" si="20"/>
        <v>0</v>
      </c>
      <c r="P174" s="688" t="s">
        <v>1533</v>
      </c>
      <c r="Q174" s="694">
        <v>5250</v>
      </c>
      <c r="R174" s="688" t="s">
        <v>1490</v>
      </c>
      <c r="S174" s="688" t="e">
        <f>+#REF!</f>
        <v>#REF!</v>
      </c>
      <c r="T174" s="688" t="s">
        <v>1534</v>
      </c>
      <c r="U174" s="694">
        <v>5250</v>
      </c>
      <c r="V174" s="688" t="s">
        <v>1490</v>
      </c>
      <c r="W174" s="695">
        <v>34335</v>
      </c>
      <c r="X174" s="696" t="s">
        <v>1067</v>
      </c>
      <c r="Y174" s="688" t="s">
        <v>1535</v>
      </c>
      <c r="Z174" s="688" t="s">
        <v>1536</v>
      </c>
      <c r="AA174" s="688" t="s">
        <v>891</v>
      </c>
      <c r="AB174" s="688" t="s">
        <v>891</v>
      </c>
      <c r="AC174" s="688"/>
      <c r="AD174" s="688"/>
      <c r="AE174" s="689">
        <v>4680817.01</v>
      </c>
      <c r="AF174" s="693">
        <v>100</v>
      </c>
      <c r="AG174" s="688" t="s">
        <v>891</v>
      </c>
      <c r="AH174" s="693">
        <v>100</v>
      </c>
      <c r="AI174" s="697" t="s">
        <v>1067</v>
      </c>
      <c r="AJ174" s="698" t="s">
        <v>1537</v>
      </c>
      <c r="AK174" s="699">
        <f t="shared" si="26"/>
        <v>28651</v>
      </c>
      <c r="AL174" s="685" t="s">
        <v>160</v>
      </c>
      <c r="AM174" s="699">
        <v>2500</v>
      </c>
      <c r="AN174" s="699">
        <v>1000</v>
      </c>
    </row>
    <row r="175" spans="1:52" x14ac:dyDescent="0.3">
      <c r="A175" s="669" t="s">
        <v>1538</v>
      </c>
      <c r="B175" s="686" t="e">
        <f t="shared" si="25"/>
        <v>#REF!</v>
      </c>
      <c r="C175" s="687">
        <f t="shared" si="25"/>
        <v>174</v>
      </c>
      <c r="D175" s="688">
        <v>100</v>
      </c>
      <c r="E175" s="688">
        <v>248</v>
      </c>
      <c r="F175" s="689"/>
      <c r="G175" s="689">
        <v>30.39</v>
      </c>
      <c r="H175" s="690">
        <v>1.006</v>
      </c>
      <c r="I175" s="691">
        <f t="shared" si="16"/>
        <v>0</v>
      </c>
      <c r="J175" s="692">
        <f t="shared" si="17"/>
        <v>0</v>
      </c>
      <c r="K175" s="692">
        <v>0</v>
      </c>
      <c r="L175" s="692">
        <f t="shared" si="18"/>
        <v>0</v>
      </c>
      <c r="M175" s="693">
        <v>3.81</v>
      </c>
      <c r="N175" s="693">
        <v>0</v>
      </c>
      <c r="O175" s="691">
        <f t="shared" si="20"/>
        <v>0</v>
      </c>
      <c r="P175" s="688" t="s">
        <v>1539</v>
      </c>
      <c r="Q175" s="694">
        <v>5250</v>
      </c>
      <c r="R175" s="688" t="s">
        <v>1490</v>
      </c>
      <c r="S175" s="688" t="e">
        <f>+#REF!</f>
        <v>#REF!</v>
      </c>
      <c r="T175" s="688" t="s">
        <v>1540</v>
      </c>
      <c r="U175" s="694">
        <v>5250</v>
      </c>
      <c r="V175" s="688" t="s">
        <v>1490</v>
      </c>
      <c r="W175" s="695">
        <v>35431</v>
      </c>
      <c r="X175" s="696" t="s">
        <v>1541</v>
      </c>
      <c r="Y175" s="688" t="s">
        <v>1542</v>
      </c>
      <c r="Z175" s="688" t="s">
        <v>1543</v>
      </c>
      <c r="AA175" s="688" t="s">
        <v>891</v>
      </c>
      <c r="AB175" s="688" t="s">
        <v>891</v>
      </c>
      <c r="AC175" s="688"/>
      <c r="AD175" s="688"/>
      <c r="AE175" s="689">
        <v>4712403.37</v>
      </c>
      <c r="AF175" s="693">
        <v>10.7</v>
      </c>
      <c r="AG175" s="688" t="s">
        <v>891</v>
      </c>
      <c r="AH175" s="693">
        <v>10.7</v>
      </c>
      <c r="AI175" s="697" t="s">
        <v>1541</v>
      </c>
      <c r="AJ175" s="698" t="s">
        <v>1544</v>
      </c>
      <c r="AK175" s="699">
        <f t="shared" si="26"/>
        <v>21273</v>
      </c>
      <c r="AL175" s="685" t="s">
        <v>160</v>
      </c>
      <c r="AM175" s="699">
        <v>2500</v>
      </c>
      <c r="AN175" s="699">
        <v>1000</v>
      </c>
    </row>
    <row r="176" spans="1:52" x14ac:dyDescent="0.3">
      <c r="A176" s="669" t="s">
        <v>1545</v>
      </c>
      <c r="B176" s="686" t="e">
        <f t="shared" si="25"/>
        <v>#REF!</v>
      </c>
      <c r="C176" s="687">
        <f t="shared" si="25"/>
        <v>175</v>
      </c>
      <c r="D176" s="688">
        <v>100</v>
      </c>
      <c r="E176" s="688">
        <v>251</v>
      </c>
      <c r="F176" s="689"/>
      <c r="G176" s="689">
        <v>72.06</v>
      </c>
      <c r="H176" s="690">
        <v>0.96599999999999997</v>
      </c>
      <c r="I176" s="691">
        <f t="shared" si="16"/>
        <v>0</v>
      </c>
      <c r="J176" s="692">
        <f t="shared" si="17"/>
        <v>0</v>
      </c>
      <c r="K176" s="692">
        <v>0</v>
      </c>
      <c r="L176" s="692">
        <f t="shared" si="18"/>
        <v>0</v>
      </c>
      <c r="M176" s="693">
        <v>3.81</v>
      </c>
      <c r="N176" s="693">
        <v>0</v>
      </c>
      <c r="O176" s="691">
        <f t="shared" si="20"/>
        <v>0</v>
      </c>
      <c r="P176" s="688" t="s">
        <v>1539</v>
      </c>
      <c r="Q176" s="694">
        <v>5250</v>
      </c>
      <c r="R176" s="688" t="s">
        <v>1490</v>
      </c>
      <c r="S176" s="688" t="e">
        <f>+#REF!</f>
        <v>#REF!</v>
      </c>
      <c r="T176" s="688" t="s">
        <v>1540</v>
      </c>
      <c r="U176" s="694">
        <v>5250</v>
      </c>
      <c r="V176" s="688" t="s">
        <v>1490</v>
      </c>
      <c r="W176" s="695">
        <v>34335</v>
      </c>
      <c r="X176" s="696" t="s">
        <v>1541</v>
      </c>
      <c r="Y176" s="688" t="s">
        <v>1546</v>
      </c>
      <c r="Z176" s="688" t="s">
        <v>1547</v>
      </c>
      <c r="AA176" s="688" t="s">
        <v>891</v>
      </c>
      <c r="AB176" s="688" t="s">
        <v>891</v>
      </c>
      <c r="AC176" s="688"/>
      <c r="AD176" s="688"/>
      <c r="AE176" s="689">
        <v>10859434.289999999</v>
      </c>
      <c r="AF176" s="693">
        <v>24.65</v>
      </c>
      <c r="AG176" s="688" t="s">
        <v>891</v>
      </c>
      <c r="AH176" s="693">
        <v>24.65</v>
      </c>
      <c r="AI176" s="697" t="s">
        <v>1541</v>
      </c>
      <c r="AJ176" s="698" t="s">
        <v>1548</v>
      </c>
      <c r="AK176" s="699">
        <f t="shared" si="26"/>
        <v>50442</v>
      </c>
      <c r="AL176" s="685" t="s">
        <v>160</v>
      </c>
      <c r="AM176" s="699">
        <v>2500</v>
      </c>
      <c r="AN176" s="699">
        <v>1000</v>
      </c>
    </row>
    <row r="177" spans="1:40" x14ac:dyDescent="0.3">
      <c r="A177" s="669" t="s">
        <v>1549</v>
      </c>
      <c r="B177" s="686" t="e">
        <f t="shared" si="25"/>
        <v>#REF!</v>
      </c>
      <c r="C177" s="687">
        <f t="shared" si="25"/>
        <v>176</v>
      </c>
      <c r="D177" s="688">
        <v>100</v>
      </c>
      <c r="E177" s="688">
        <v>181</v>
      </c>
      <c r="F177" s="689"/>
      <c r="G177" s="689">
        <v>51.3</v>
      </c>
      <c r="H177" s="690">
        <v>1</v>
      </c>
      <c r="I177" s="691">
        <f t="shared" si="16"/>
        <v>0</v>
      </c>
      <c r="J177" s="692">
        <f t="shared" si="17"/>
        <v>0</v>
      </c>
      <c r="K177" s="692">
        <v>0</v>
      </c>
      <c r="L177" s="692">
        <f t="shared" si="18"/>
        <v>0</v>
      </c>
      <c r="M177" s="693">
        <v>0</v>
      </c>
      <c r="N177" s="693">
        <v>0</v>
      </c>
      <c r="O177" s="691">
        <f t="shared" si="20"/>
        <v>0</v>
      </c>
      <c r="P177" s="688" t="s">
        <v>1550</v>
      </c>
      <c r="Q177" s="694">
        <v>5250</v>
      </c>
      <c r="R177" s="688" t="s">
        <v>1490</v>
      </c>
      <c r="S177" s="688" t="e">
        <f>+#REF!</f>
        <v>#REF!</v>
      </c>
      <c r="T177" s="688" t="s">
        <v>1551</v>
      </c>
      <c r="U177" s="694">
        <v>5250</v>
      </c>
      <c r="V177" s="688" t="s">
        <v>1490</v>
      </c>
      <c r="W177" s="695">
        <v>34335</v>
      </c>
      <c r="X177" s="696" t="s">
        <v>1194</v>
      </c>
      <c r="Y177" s="688" t="s">
        <v>1552</v>
      </c>
      <c r="Z177" s="688" t="s">
        <v>1553</v>
      </c>
      <c r="AA177" s="688" t="s">
        <v>891</v>
      </c>
      <c r="AB177" s="688" t="s">
        <v>891</v>
      </c>
      <c r="AC177" s="688"/>
      <c r="AD177" s="688"/>
      <c r="AE177" s="689">
        <v>5771092.5099999998</v>
      </c>
      <c r="AF177" s="693">
        <v>100</v>
      </c>
      <c r="AG177" s="688" t="s">
        <v>891</v>
      </c>
      <c r="AH177" s="693">
        <v>100</v>
      </c>
      <c r="AI177" s="697" t="s">
        <v>1194</v>
      </c>
      <c r="AJ177" s="698" t="s">
        <v>1554</v>
      </c>
      <c r="AK177" s="699">
        <f t="shared" si="26"/>
        <v>35910</v>
      </c>
      <c r="AL177" s="685" t="s">
        <v>160</v>
      </c>
      <c r="AM177" s="699">
        <v>2500</v>
      </c>
      <c r="AN177" s="699">
        <v>1000</v>
      </c>
    </row>
    <row r="178" spans="1:40" x14ac:dyDescent="0.3">
      <c r="A178" s="669" t="s">
        <v>1555</v>
      </c>
      <c r="B178" s="686" t="e">
        <f t="shared" si="25"/>
        <v>#REF!</v>
      </c>
      <c r="C178" s="687">
        <f t="shared" si="25"/>
        <v>177</v>
      </c>
      <c r="D178" s="688">
        <v>100</v>
      </c>
      <c r="E178" s="688">
        <v>119</v>
      </c>
      <c r="F178" s="689"/>
      <c r="G178" s="689">
        <v>15.22</v>
      </c>
      <c r="H178" s="690">
        <v>1</v>
      </c>
      <c r="I178" s="691">
        <f t="shared" si="16"/>
        <v>0</v>
      </c>
      <c r="J178" s="692">
        <f t="shared" si="17"/>
        <v>0</v>
      </c>
      <c r="K178" s="692">
        <v>0</v>
      </c>
      <c r="L178" s="692">
        <f t="shared" si="18"/>
        <v>0</v>
      </c>
      <c r="M178" s="693">
        <v>6.35</v>
      </c>
      <c r="N178" s="693">
        <v>0</v>
      </c>
      <c r="O178" s="691">
        <f t="shared" si="20"/>
        <v>0</v>
      </c>
      <c r="P178" s="688" t="s">
        <v>1556</v>
      </c>
      <c r="Q178" s="694">
        <v>5250</v>
      </c>
      <c r="R178" s="688" t="s">
        <v>1490</v>
      </c>
      <c r="S178" s="688" t="e">
        <f>+#REF!</f>
        <v>#REF!</v>
      </c>
      <c r="T178" s="688" t="s">
        <v>1557</v>
      </c>
      <c r="U178" s="694">
        <v>5250</v>
      </c>
      <c r="V178" s="688" t="s">
        <v>1490</v>
      </c>
      <c r="W178" s="695">
        <v>36951</v>
      </c>
      <c r="X178" s="696" t="s">
        <v>1497</v>
      </c>
      <c r="Y178" s="688" t="s">
        <v>1558</v>
      </c>
      <c r="Z178" s="688" t="s">
        <v>1559</v>
      </c>
      <c r="AA178" s="688" t="s">
        <v>891</v>
      </c>
      <c r="AB178" s="688" t="s">
        <v>891</v>
      </c>
      <c r="AC178" s="688"/>
      <c r="AD178" s="688"/>
      <c r="AE178" s="689">
        <v>562851.35</v>
      </c>
      <c r="AF178" s="693">
        <v>1.7311289999999999</v>
      </c>
      <c r="AG178" s="688" t="s">
        <v>891</v>
      </c>
      <c r="AH178" s="693">
        <v>1.7311289999999999</v>
      </c>
      <c r="AI178" s="697" t="s">
        <v>1497</v>
      </c>
      <c r="AJ178" s="698" t="s">
        <v>1560</v>
      </c>
      <c r="AK178" s="699">
        <f t="shared" si="26"/>
        <v>10654</v>
      </c>
      <c r="AL178" s="685" t="s">
        <v>160</v>
      </c>
      <c r="AM178" s="699">
        <v>2500</v>
      </c>
      <c r="AN178" s="699">
        <v>1000</v>
      </c>
    </row>
    <row r="179" spans="1:40" x14ac:dyDescent="0.3">
      <c r="B179" s="686"/>
      <c r="C179" s="687">
        <v>178</v>
      </c>
      <c r="D179" s="688"/>
      <c r="E179" s="688"/>
      <c r="F179" s="689"/>
      <c r="G179" s="689">
        <v>28.57</v>
      </c>
      <c r="H179" s="690"/>
      <c r="I179" s="691"/>
      <c r="J179" s="692"/>
      <c r="K179" s="692"/>
      <c r="L179" s="692"/>
      <c r="M179" s="693"/>
      <c r="N179" s="693"/>
      <c r="O179" s="691"/>
      <c r="P179" s="688" t="s">
        <v>1561</v>
      </c>
      <c r="Q179" s="694"/>
      <c r="R179" s="688"/>
      <c r="S179" s="688" t="e">
        <f>+#REF!</f>
        <v>#REF!</v>
      </c>
      <c r="T179" s="688"/>
      <c r="U179" s="694"/>
      <c r="V179" s="688"/>
      <c r="W179" s="695"/>
      <c r="X179" s="696"/>
      <c r="Y179" s="688"/>
      <c r="Z179" s="688"/>
      <c r="AA179" s="688"/>
      <c r="AB179" s="688"/>
      <c r="AC179" s="688"/>
      <c r="AD179" s="688"/>
      <c r="AE179" s="689"/>
      <c r="AF179" s="693"/>
      <c r="AG179" s="688"/>
      <c r="AH179" s="693"/>
      <c r="AI179" s="697"/>
      <c r="AJ179" s="698" t="s">
        <v>1562</v>
      </c>
      <c r="AK179" s="699">
        <f>G179*800</f>
        <v>22856</v>
      </c>
      <c r="AL179" s="685" t="s">
        <v>159</v>
      </c>
      <c r="AM179" s="699">
        <v>2500</v>
      </c>
      <c r="AN179" s="699">
        <v>1000</v>
      </c>
    </row>
    <row r="180" spans="1:40" x14ac:dyDescent="0.3">
      <c r="A180" s="669" t="s">
        <v>1563</v>
      </c>
      <c r="B180" s="686" t="e">
        <f>+#REF!+1</f>
        <v>#REF!</v>
      </c>
      <c r="C180" s="687">
        <v>179</v>
      </c>
      <c r="D180" s="688">
        <v>100</v>
      </c>
      <c r="E180" s="688">
        <v>235</v>
      </c>
      <c r="F180" s="689"/>
      <c r="G180" s="689">
        <v>30.5</v>
      </c>
      <c r="H180" s="690">
        <v>1.024</v>
      </c>
      <c r="I180" s="691">
        <f t="shared" ref="I180:I250" si="27">+G180*E180*H180*D180*F180/100</f>
        <v>0</v>
      </c>
      <c r="J180" s="692">
        <f t="shared" ref="J180:J250" si="28">ROUND(+I180*M180/(12*100),0)</f>
        <v>0</v>
      </c>
      <c r="K180" s="692">
        <v>0</v>
      </c>
      <c r="L180" s="692">
        <f t="shared" ref="L180:L250" si="29">+J180-K180</f>
        <v>0</v>
      </c>
      <c r="M180" s="693">
        <v>6.35</v>
      </c>
      <c r="N180" s="693">
        <v>0</v>
      </c>
      <c r="O180" s="691"/>
      <c r="P180" s="688" t="s">
        <v>1564</v>
      </c>
      <c r="Q180" s="694">
        <v>5000</v>
      </c>
      <c r="R180" s="688" t="s">
        <v>886</v>
      </c>
      <c r="S180" s="688" t="e">
        <f>+#REF!</f>
        <v>#REF!</v>
      </c>
      <c r="T180" s="688" t="s">
        <v>1565</v>
      </c>
      <c r="U180" s="694">
        <v>5000</v>
      </c>
      <c r="V180" s="688" t="s">
        <v>886</v>
      </c>
      <c r="W180" s="695">
        <v>37073</v>
      </c>
      <c r="X180" s="696" t="s">
        <v>910</v>
      </c>
      <c r="Y180" s="688" t="s">
        <v>1566</v>
      </c>
      <c r="Z180" s="688" t="s">
        <v>1567</v>
      </c>
      <c r="AA180" s="688" t="s">
        <v>891</v>
      </c>
      <c r="AB180" s="688" t="s">
        <v>891</v>
      </c>
      <c r="AC180" s="688"/>
      <c r="AD180" s="688"/>
      <c r="AE180" s="689">
        <v>4187819.42</v>
      </c>
      <c r="AF180" s="693">
        <v>3.3389700000000002</v>
      </c>
      <c r="AG180" s="688" t="s">
        <v>891</v>
      </c>
      <c r="AH180" s="693">
        <v>0.98856299999999997</v>
      </c>
      <c r="AI180" s="697" t="s">
        <v>910</v>
      </c>
      <c r="AJ180" s="698" t="s">
        <v>1568</v>
      </c>
      <c r="AK180" s="699">
        <f>G180*850</f>
        <v>25925</v>
      </c>
      <c r="AL180" s="685" t="s">
        <v>159</v>
      </c>
      <c r="AM180" s="699">
        <v>2500</v>
      </c>
      <c r="AN180" s="699">
        <v>1000</v>
      </c>
    </row>
    <row r="181" spans="1:40" x14ac:dyDescent="0.3">
      <c r="A181" s="669" t="s">
        <v>1569</v>
      </c>
      <c r="B181" s="686" t="e">
        <f t="shared" ref="B181:C195" si="30">+B180+1</f>
        <v>#REF!</v>
      </c>
      <c r="C181" s="687">
        <f t="shared" si="30"/>
        <v>180</v>
      </c>
      <c r="D181" s="688">
        <v>100</v>
      </c>
      <c r="E181" s="688">
        <v>242</v>
      </c>
      <c r="F181" s="689"/>
      <c r="G181" s="689">
        <v>81.67</v>
      </c>
      <c r="H181" s="690">
        <v>0.96599999999999997</v>
      </c>
      <c r="I181" s="691">
        <f t="shared" si="27"/>
        <v>0</v>
      </c>
      <c r="J181" s="692">
        <f t="shared" si="28"/>
        <v>0</v>
      </c>
      <c r="K181" s="692">
        <v>0</v>
      </c>
      <c r="L181" s="692">
        <f t="shared" si="29"/>
        <v>0</v>
      </c>
      <c r="M181" s="693">
        <v>3.81</v>
      </c>
      <c r="N181" s="693">
        <v>0</v>
      </c>
      <c r="O181" s="691">
        <f t="shared" ref="O181:O199" si="31">ROUND(+I181*N181/(12*100),0)</f>
        <v>0</v>
      </c>
      <c r="P181" s="688" t="s">
        <v>1570</v>
      </c>
      <c r="Q181" s="694">
        <v>5000</v>
      </c>
      <c r="R181" s="688" t="s">
        <v>886</v>
      </c>
      <c r="S181" s="688" t="e">
        <f>+#REF!</f>
        <v>#REF!</v>
      </c>
      <c r="T181" s="688" t="s">
        <v>1565</v>
      </c>
      <c r="U181" s="694">
        <v>5000</v>
      </c>
      <c r="V181" s="688" t="s">
        <v>886</v>
      </c>
      <c r="W181" s="695">
        <v>34578</v>
      </c>
      <c r="X181" s="696" t="s">
        <v>910</v>
      </c>
      <c r="Y181" s="688" t="s">
        <v>1571</v>
      </c>
      <c r="Z181" s="688" t="s">
        <v>1572</v>
      </c>
      <c r="AA181" s="688" t="s">
        <v>891</v>
      </c>
      <c r="AB181" s="688" t="s">
        <v>891</v>
      </c>
      <c r="AC181" s="688"/>
      <c r="AD181" s="688"/>
      <c r="AE181" s="689">
        <v>11866349.73</v>
      </c>
      <c r="AF181" s="693">
        <v>5.6004589999999999</v>
      </c>
      <c r="AG181" s="688" t="s">
        <v>891</v>
      </c>
      <c r="AH181" s="693">
        <v>2.0067089999999999</v>
      </c>
      <c r="AI181" s="697" t="s">
        <v>910</v>
      </c>
      <c r="AJ181" s="698" t="s">
        <v>1573</v>
      </c>
      <c r="AK181" s="699">
        <f t="shared" ref="AK181:AK200" si="32">G181*850</f>
        <v>69419.5</v>
      </c>
      <c r="AL181" s="685" t="s">
        <v>159</v>
      </c>
      <c r="AM181" s="699">
        <v>2500</v>
      </c>
      <c r="AN181" s="699">
        <v>1000</v>
      </c>
    </row>
    <row r="182" spans="1:40" x14ac:dyDescent="0.3">
      <c r="A182" s="669" t="s">
        <v>1574</v>
      </c>
      <c r="B182" s="686" t="e">
        <f t="shared" si="30"/>
        <v>#REF!</v>
      </c>
      <c r="C182" s="687">
        <f t="shared" si="30"/>
        <v>181</v>
      </c>
      <c r="D182" s="688">
        <v>100</v>
      </c>
      <c r="E182" s="688">
        <v>214</v>
      </c>
      <c r="F182" s="689"/>
      <c r="G182" s="689">
        <v>96.3</v>
      </c>
      <c r="H182" s="690">
        <v>0.96599999999999997</v>
      </c>
      <c r="I182" s="691">
        <f t="shared" si="27"/>
        <v>0</v>
      </c>
      <c r="J182" s="692">
        <f t="shared" si="28"/>
        <v>0</v>
      </c>
      <c r="K182" s="692">
        <v>0</v>
      </c>
      <c r="L182" s="692">
        <f t="shared" si="29"/>
        <v>0</v>
      </c>
      <c r="M182" s="693">
        <v>1.91</v>
      </c>
      <c r="N182" s="693">
        <v>1.67</v>
      </c>
      <c r="O182" s="691">
        <f t="shared" si="31"/>
        <v>0</v>
      </c>
      <c r="P182" s="688" t="s">
        <v>1575</v>
      </c>
      <c r="Q182" s="694">
        <v>5000</v>
      </c>
      <c r="R182" s="688" t="s">
        <v>886</v>
      </c>
      <c r="S182" s="688" t="e">
        <f>+#REF!</f>
        <v>#REF!</v>
      </c>
      <c r="T182" s="688" t="s">
        <v>1576</v>
      </c>
      <c r="U182" s="694">
        <v>5000</v>
      </c>
      <c r="V182" s="688" t="s">
        <v>886</v>
      </c>
      <c r="W182" s="695">
        <v>34700</v>
      </c>
      <c r="X182" s="696" t="s">
        <v>1577</v>
      </c>
      <c r="Y182" s="688" t="s">
        <v>1578</v>
      </c>
      <c r="Z182" s="688" t="s">
        <v>1579</v>
      </c>
      <c r="AA182" s="688" t="s">
        <v>891</v>
      </c>
      <c r="AB182" s="688" t="s">
        <v>891</v>
      </c>
      <c r="AC182" s="688"/>
      <c r="AD182" s="688"/>
      <c r="AE182" s="689">
        <v>12373121.65</v>
      </c>
      <c r="AF182" s="693">
        <v>9.7200000000000006</v>
      </c>
      <c r="AG182" s="688" t="s">
        <v>891</v>
      </c>
      <c r="AH182" s="693">
        <v>3.31</v>
      </c>
      <c r="AI182" s="697" t="s">
        <v>1577</v>
      </c>
      <c r="AJ182" s="698" t="s">
        <v>1580</v>
      </c>
      <c r="AK182" s="699">
        <f t="shared" si="32"/>
        <v>81855</v>
      </c>
      <c r="AL182" s="685" t="s">
        <v>159</v>
      </c>
      <c r="AM182" s="699">
        <v>2500</v>
      </c>
      <c r="AN182" s="699">
        <v>1000</v>
      </c>
    </row>
    <row r="183" spans="1:40" x14ac:dyDescent="0.3">
      <c r="A183" s="669" t="s">
        <v>1581</v>
      </c>
      <c r="B183" s="686" t="e">
        <f t="shared" si="30"/>
        <v>#REF!</v>
      </c>
      <c r="C183" s="687">
        <f t="shared" si="30"/>
        <v>182</v>
      </c>
      <c r="D183" s="688">
        <v>100</v>
      </c>
      <c r="E183" s="688">
        <v>214</v>
      </c>
      <c r="F183" s="689"/>
      <c r="G183" s="689">
        <v>89.32</v>
      </c>
      <c r="H183" s="690">
        <v>1</v>
      </c>
      <c r="I183" s="691">
        <f t="shared" si="27"/>
        <v>0</v>
      </c>
      <c r="J183" s="692">
        <f t="shared" si="28"/>
        <v>0</v>
      </c>
      <c r="K183" s="692">
        <v>0</v>
      </c>
      <c r="L183" s="692">
        <f t="shared" si="29"/>
        <v>0</v>
      </c>
      <c r="M183" s="693">
        <v>5.08</v>
      </c>
      <c r="N183" s="693">
        <v>0</v>
      </c>
      <c r="O183" s="691">
        <f t="shared" si="31"/>
        <v>0</v>
      </c>
      <c r="P183" s="688" t="s">
        <v>1582</v>
      </c>
      <c r="Q183" s="694">
        <v>5000</v>
      </c>
      <c r="R183" s="688" t="s">
        <v>886</v>
      </c>
      <c r="S183" s="688" t="e">
        <f>+#REF!</f>
        <v>#REF!</v>
      </c>
      <c r="T183" s="688" t="s">
        <v>1576</v>
      </c>
      <c r="U183" s="694">
        <v>5000</v>
      </c>
      <c r="V183" s="688" t="s">
        <v>886</v>
      </c>
      <c r="W183" s="695">
        <v>37715</v>
      </c>
      <c r="X183" s="696" t="s">
        <v>1577</v>
      </c>
      <c r="Y183" s="688" t="s">
        <v>1583</v>
      </c>
      <c r="Z183" s="688" t="s">
        <v>1584</v>
      </c>
      <c r="AA183" s="688" t="s">
        <v>891</v>
      </c>
      <c r="AB183" s="688" t="s">
        <v>891</v>
      </c>
      <c r="AC183" s="688"/>
      <c r="AD183" s="688"/>
      <c r="AE183" s="689">
        <v>11880222.75</v>
      </c>
      <c r="AF183" s="693">
        <v>11.18</v>
      </c>
      <c r="AG183" s="688" t="s">
        <v>891</v>
      </c>
      <c r="AH183" s="693">
        <v>3.18</v>
      </c>
      <c r="AI183" s="697" t="s">
        <v>1577</v>
      </c>
      <c r="AJ183" s="698" t="s">
        <v>1585</v>
      </c>
      <c r="AK183" s="699">
        <f t="shared" si="32"/>
        <v>75922</v>
      </c>
      <c r="AL183" s="685" t="s">
        <v>159</v>
      </c>
      <c r="AM183" s="699">
        <v>2500</v>
      </c>
      <c r="AN183" s="699">
        <v>1000</v>
      </c>
    </row>
    <row r="184" spans="1:40" x14ac:dyDescent="0.3">
      <c r="A184" s="669" t="s">
        <v>1586</v>
      </c>
      <c r="B184" s="686" t="e">
        <f t="shared" si="30"/>
        <v>#REF!</v>
      </c>
      <c r="C184" s="687">
        <f t="shared" si="30"/>
        <v>183</v>
      </c>
      <c r="D184" s="688">
        <v>100</v>
      </c>
      <c r="E184" s="688">
        <v>205</v>
      </c>
      <c r="F184" s="689"/>
      <c r="G184" s="689">
        <v>46.97</v>
      </c>
      <c r="H184" s="690">
        <v>1.024</v>
      </c>
      <c r="I184" s="691">
        <f t="shared" si="27"/>
        <v>0</v>
      </c>
      <c r="J184" s="692">
        <f t="shared" si="28"/>
        <v>0</v>
      </c>
      <c r="K184" s="692">
        <v>0</v>
      </c>
      <c r="L184" s="692">
        <f t="shared" si="29"/>
        <v>0</v>
      </c>
      <c r="M184" s="693">
        <v>3.81</v>
      </c>
      <c r="N184" s="693">
        <v>0</v>
      </c>
      <c r="O184" s="691">
        <f t="shared" si="31"/>
        <v>0</v>
      </c>
      <c r="P184" s="688" t="s">
        <v>1587</v>
      </c>
      <c r="Q184" s="694">
        <v>5000</v>
      </c>
      <c r="R184" s="688" t="s">
        <v>886</v>
      </c>
      <c r="S184" s="688" t="e">
        <f>+#REF!</f>
        <v>#REF!</v>
      </c>
      <c r="T184" s="688" t="s">
        <v>1588</v>
      </c>
      <c r="U184" s="694">
        <v>5000</v>
      </c>
      <c r="V184" s="688" t="s">
        <v>886</v>
      </c>
      <c r="W184" s="695">
        <v>34335</v>
      </c>
      <c r="X184" s="696" t="s">
        <v>1577</v>
      </c>
      <c r="Y184" s="688" t="s">
        <v>1589</v>
      </c>
      <c r="Z184" s="688" t="s">
        <v>1590</v>
      </c>
      <c r="AA184" s="688" t="s">
        <v>891</v>
      </c>
      <c r="AB184" s="688" t="s">
        <v>891</v>
      </c>
      <c r="AC184" s="688"/>
      <c r="AD184" s="688"/>
      <c r="AE184" s="689">
        <v>6128250</v>
      </c>
      <c r="AF184" s="693">
        <v>3.92</v>
      </c>
      <c r="AG184" s="688" t="s">
        <v>891</v>
      </c>
      <c r="AH184" s="693">
        <v>1.26</v>
      </c>
      <c r="AI184" s="697" t="s">
        <v>1577</v>
      </c>
      <c r="AJ184" s="698" t="s">
        <v>1591</v>
      </c>
      <c r="AK184" s="699">
        <f t="shared" si="32"/>
        <v>39924.5</v>
      </c>
      <c r="AL184" s="685" t="s">
        <v>159</v>
      </c>
      <c r="AM184" s="699">
        <v>2500</v>
      </c>
      <c r="AN184" s="699">
        <v>1000</v>
      </c>
    </row>
    <row r="185" spans="1:40" x14ac:dyDescent="0.3">
      <c r="A185" s="669" t="s">
        <v>1592</v>
      </c>
      <c r="B185" s="686" t="e">
        <f t="shared" si="30"/>
        <v>#REF!</v>
      </c>
      <c r="C185" s="687">
        <f t="shared" si="30"/>
        <v>184</v>
      </c>
      <c r="D185" s="688">
        <v>100</v>
      </c>
      <c r="E185" s="688">
        <v>194</v>
      </c>
      <c r="F185" s="689"/>
      <c r="G185" s="689">
        <v>35.97</v>
      </c>
      <c r="H185" s="690">
        <v>1.0569999999999999</v>
      </c>
      <c r="I185" s="691">
        <f t="shared" si="27"/>
        <v>0</v>
      </c>
      <c r="J185" s="692">
        <f t="shared" si="28"/>
        <v>0</v>
      </c>
      <c r="K185" s="692">
        <v>0</v>
      </c>
      <c r="L185" s="692">
        <f t="shared" si="29"/>
        <v>0</v>
      </c>
      <c r="M185" s="693">
        <v>3.81</v>
      </c>
      <c r="N185" s="693">
        <v>0</v>
      </c>
      <c r="O185" s="691">
        <f t="shared" si="31"/>
        <v>0</v>
      </c>
      <c r="P185" s="688" t="s">
        <v>1587</v>
      </c>
      <c r="Q185" s="694">
        <v>5000</v>
      </c>
      <c r="R185" s="688" t="s">
        <v>886</v>
      </c>
      <c r="S185" s="688" t="e">
        <f>+#REF!</f>
        <v>#REF!</v>
      </c>
      <c r="T185" s="688" t="s">
        <v>1588</v>
      </c>
      <c r="U185" s="694">
        <v>5000</v>
      </c>
      <c r="V185" s="688" t="s">
        <v>886</v>
      </c>
      <c r="W185" s="695">
        <v>34335</v>
      </c>
      <c r="X185" s="696" t="s">
        <v>1577</v>
      </c>
      <c r="Y185" s="688" t="s">
        <v>1593</v>
      </c>
      <c r="Z185" s="688" t="s">
        <v>1594</v>
      </c>
      <c r="AA185" s="688" t="s">
        <v>891</v>
      </c>
      <c r="AB185" s="688" t="s">
        <v>891</v>
      </c>
      <c r="AC185" s="688"/>
      <c r="AD185" s="688"/>
      <c r="AE185" s="689">
        <v>3823490.96</v>
      </c>
      <c r="AF185" s="693">
        <v>3.26</v>
      </c>
      <c r="AG185" s="688" t="s">
        <v>891</v>
      </c>
      <c r="AH185" s="693">
        <v>1.05</v>
      </c>
      <c r="AI185" s="697" t="s">
        <v>1577</v>
      </c>
      <c r="AJ185" s="698" t="s">
        <v>1591</v>
      </c>
      <c r="AK185" s="699">
        <f t="shared" si="32"/>
        <v>30574.5</v>
      </c>
      <c r="AL185" s="685" t="s">
        <v>159</v>
      </c>
      <c r="AM185" s="699">
        <v>2500</v>
      </c>
      <c r="AN185" s="699">
        <v>1000</v>
      </c>
    </row>
    <row r="186" spans="1:40" x14ac:dyDescent="0.3">
      <c r="A186" s="669" t="s">
        <v>1595</v>
      </c>
      <c r="B186" s="686" t="e">
        <f t="shared" si="30"/>
        <v>#REF!</v>
      </c>
      <c r="C186" s="687">
        <f t="shared" si="30"/>
        <v>185</v>
      </c>
      <c r="D186" s="688">
        <v>100</v>
      </c>
      <c r="E186" s="688">
        <v>186</v>
      </c>
      <c r="F186" s="689"/>
      <c r="G186" s="689">
        <v>13.4</v>
      </c>
      <c r="H186" s="690">
        <v>1.0569999999999999</v>
      </c>
      <c r="I186" s="691">
        <f t="shared" si="27"/>
        <v>0</v>
      </c>
      <c r="J186" s="692">
        <f t="shared" si="28"/>
        <v>0</v>
      </c>
      <c r="K186" s="692">
        <v>0</v>
      </c>
      <c r="L186" s="692">
        <f t="shared" si="29"/>
        <v>0</v>
      </c>
      <c r="M186" s="693">
        <v>3.81</v>
      </c>
      <c r="N186" s="693">
        <v>0</v>
      </c>
      <c r="O186" s="691">
        <f t="shared" si="31"/>
        <v>0</v>
      </c>
      <c r="P186" s="688" t="s">
        <v>1587</v>
      </c>
      <c r="Q186" s="694">
        <v>5000</v>
      </c>
      <c r="R186" s="688" t="s">
        <v>886</v>
      </c>
      <c r="S186" s="688" t="e">
        <f>+#REF!</f>
        <v>#REF!</v>
      </c>
      <c r="T186" s="688" t="s">
        <v>1588</v>
      </c>
      <c r="U186" s="694">
        <v>5000</v>
      </c>
      <c r="V186" s="688" t="s">
        <v>886</v>
      </c>
      <c r="W186" s="695">
        <v>34335</v>
      </c>
      <c r="X186" s="696" t="s">
        <v>1577</v>
      </c>
      <c r="Y186" s="688" t="s">
        <v>1596</v>
      </c>
      <c r="Z186" s="688" t="s">
        <v>1597</v>
      </c>
      <c r="AA186" s="688" t="s">
        <v>891</v>
      </c>
      <c r="AB186" s="688" t="s">
        <v>891</v>
      </c>
      <c r="AC186" s="688"/>
      <c r="AD186" s="688"/>
      <c r="AE186" s="689">
        <v>1637400.15</v>
      </c>
      <c r="AF186" s="693">
        <v>1.4</v>
      </c>
      <c r="AG186" s="688" t="s">
        <v>891</v>
      </c>
      <c r="AH186" s="693">
        <v>0.45</v>
      </c>
      <c r="AI186" s="697" t="s">
        <v>1577</v>
      </c>
      <c r="AJ186" s="698" t="s">
        <v>1591</v>
      </c>
      <c r="AK186" s="699">
        <f t="shared" si="32"/>
        <v>11390</v>
      </c>
      <c r="AL186" s="685" t="s">
        <v>159</v>
      </c>
      <c r="AM186" s="699">
        <v>2500</v>
      </c>
      <c r="AN186" s="699">
        <v>1000</v>
      </c>
    </row>
    <row r="187" spans="1:40" x14ac:dyDescent="0.3">
      <c r="A187" s="669" t="s">
        <v>1598</v>
      </c>
      <c r="B187" s="686" t="e">
        <f t="shared" si="30"/>
        <v>#REF!</v>
      </c>
      <c r="C187" s="687">
        <f t="shared" si="30"/>
        <v>186</v>
      </c>
      <c r="D187" s="688">
        <v>100</v>
      </c>
      <c r="E187" s="688">
        <v>186</v>
      </c>
      <c r="F187" s="689"/>
      <c r="G187" s="689">
        <v>42.15</v>
      </c>
      <c r="H187" s="690">
        <v>1.0569999999999999</v>
      </c>
      <c r="I187" s="691">
        <f t="shared" si="27"/>
        <v>0</v>
      </c>
      <c r="J187" s="692">
        <f t="shared" si="28"/>
        <v>0</v>
      </c>
      <c r="K187" s="692">
        <v>0</v>
      </c>
      <c r="L187" s="692">
        <f t="shared" si="29"/>
        <v>0</v>
      </c>
      <c r="M187" s="693">
        <v>3.81</v>
      </c>
      <c r="N187" s="693">
        <v>0</v>
      </c>
      <c r="O187" s="691">
        <f t="shared" si="31"/>
        <v>0</v>
      </c>
      <c r="P187" s="688" t="s">
        <v>1587</v>
      </c>
      <c r="Q187" s="694">
        <v>5000</v>
      </c>
      <c r="R187" s="688" t="s">
        <v>886</v>
      </c>
      <c r="S187" s="688" t="e">
        <f>+#REF!</f>
        <v>#REF!</v>
      </c>
      <c r="T187" s="688" t="s">
        <v>1599</v>
      </c>
      <c r="U187" s="694">
        <v>5000</v>
      </c>
      <c r="V187" s="688" t="s">
        <v>886</v>
      </c>
      <c r="W187" s="695">
        <v>34335</v>
      </c>
      <c r="X187" s="696" t="s">
        <v>1577</v>
      </c>
      <c r="Y187" s="688" t="s">
        <v>1600</v>
      </c>
      <c r="Z187" s="688" t="s">
        <v>1601</v>
      </c>
      <c r="AA187" s="688" t="s">
        <v>891</v>
      </c>
      <c r="AB187" s="688" t="s">
        <v>891</v>
      </c>
      <c r="AC187" s="688"/>
      <c r="AD187" s="688"/>
      <c r="AE187" s="689">
        <v>5150478.83</v>
      </c>
      <c r="AF187" s="693">
        <v>4.3899999999999997</v>
      </c>
      <c r="AG187" s="688" t="s">
        <v>891</v>
      </c>
      <c r="AH187" s="693">
        <v>1.42</v>
      </c>
      <c r="AI187" s="697" t="s">
        <v>1577</v>
      </c>
      <c r="AJ187" s="698" t="s">
        <v>1591</v>
      </c>
      <c r="AK187" s="699">
        <f t="shared" si="32"/>
        <v>35827.5</v>
      </c>
      <c r="AL187" s="685" t="s">
        <v>159</v>
      </c>
      <c r="AM187" s="699">
        <v>2500</v>
      </c>
      <c r="AN187" s="699">
        <v>1000</v>
      </c>
    </row>
    <row r="188" spans="1:40" x14ac:dyDescent="0.3">
      <c r="A188" s="669" t="s">
        <v>1602</v>
      </c>
      <c r="B188" s="686" t="e">
        <f>+#REF!+1</f>
        <v>#REF!</v>
      </c>
      <c r="C188" s="687">
        <v>187</v>
      </c>
      <c r="D188" s="688">
        <v>100</v>
      </c>
      <c r="E188" s="688">
        <v>215</v>
      </c>
      <c r="F188" s="689"/>
      <c r="G188" s="689">
        <v>99.34</v>
      </c>
      <c r="H188" s="690">
        <v>0.96599999999999997</v>
      </c>
      <c r="I188" s="691">
        <f t="shared" si="27"/>
        <v>0</v>
      </c>
      <c r="J188" s="692">
        <f t="shared" si="28"/>
        <v>0</v>
      </c>
      <c r="K188" s="692">
        <v>0</v>
      </c>
      <c r="L188" s="692">
        <f t="shared" si="29"/>
        <v>0</v>
      </c>
      <c r="M188" s="693">
        <v>3.81</v>
      </c>
      <c r="N188" s="693">
        <v>0</v>
      </c>
      <c r="O188" s="691">
        <f t="shared" si="31"/>
        <v>0</v>
      </c>
      <c r="P188" s="688" t="s">
        <v>1603</v>
      </c>
      <c r="Q188" s="694">
        <v>5000</v>
      </c>
      <c r="R188" s="688" t="s">
        <v>886</v>
      </c>
      <c r="S188" s="688" t="e">
        <f>+#REF!</f>
        <v>#REF!</v>
      </c>
      <c r="T188" s="688" t="s">
        <v>1603</v>
      </c>
      <c r="U188" s="694">
        <v>5000</v>
      </c>
      <c r="V188" s="688" t="s">
        <v>886</v>
      </c>
      <c r="W188" s="695">
        <v>34335</v>
      </c>
      <c r="X188" s="696" t="s">
        <v>1577</v>
      </c>
      <c r="Y188" s="688" t="s">
        <v>1604</v>
      </c>
      <c r="Z188" s="688" t="s">
        <v>1605</v>
      </c>
      <c r="AA188" s="688" t="s">
        <v>891</v>
      </c>
      <c r="AB188" s="688" t="s">
        <v>891</v>
      </c>
      <c r="AC188" s="688"/>
      <c r="AD188" s="688"/>
      <c r="AE188" s="689">
        <v>12900811.439999999</v>
      </c>
      <c r="AF188" s="693">
        <v>3.77</v>
      </c>
      <c r="AG188" s="688" t="s">
        <v>891</v>
      </c>
      <c r="AH188" s="693">
        <v>3.77</v>
      </c>
      <c r="AI188" s="697" t="s">
        <v>1577</v>
      </c>
      <c r="AJ188" s="698" t="s">
        <v>1606</v>
      </c>
      <c r="AK188" s="699">
        <f t="shared" si="32"/>
        <v>84439</v>
      </c>
      <c r="AL188" s="685" t="s">
        <v>159</v>
      </c>
      <c r="AM188" s="699">
        <v>2500</v>
      </c>
      <c r="AN188" s="699">
        <v>1000</v>
      </c>
    </row>
    <row r="189" spans="1:40" x14ac:dyDescent="0.3">
      <c r="A189" s="669" t="s">
        <v>1607</v>
      </c>
      <c r="B189" s="686" t="e">
        <f t="shared" si="30"/>
        <v>#REF!</v>
      </c>
      <c r="C189" s="687">
        <f t="shared" si="30"/>
        <v>188</v>
      </c>
      <c r="D189" s="688">
        <v>100</v>
      </c>
      <c r="E189" s="688">
        <v>188</v>
      </c>
      <c r="F189" s="689"/>
      <c r="G189" s="689">
        <v>23.45</v>
      </c>
      <c r="H189" s="690">
        <v>1.0569999999999999</v>
      </c>
      <c r="I189" s="691">
        <f t="shared" si="27"/>
        <v>0</v>
      </c>
      <c r="J189" s="692">
        <f t="shared" si="28"/>
        <v>0</v>
      </c>
      <c r="K189" s="692">
        <v>0</v>
      </c>
      <c r="L189" s="692">
        <f t="shared" si="29"/>
        <v>0</v>
      </c>
      <c r="M189" s="693">
        <v>3.81</v>
      </c>
      <c r="N189" s="693">
        <v>0</v>
      </c>
      <c r="O189" s="691">
        <f t="shared" si="31"/>
        <v>0</v>
      </c>
      <c r="P189" s="688" t="s">
        <v>1608</v>
      </c>
      <c r="Q189" s="694">
        <v>5000</v>
      </c>
      <c r="R189" s="688" t="s">
        <v>886</v>
      </c>
      <c r="S189" s="688" t="e">
        <f>+#REF!</f>
        <v>#REF!</v>
      </c>
      <c r="T189" s="688" t="s">
        <v>1609</v>
      </c>
      <c r="U189" s="694">
        <v>5000</v>
      </c>
      <c r="V189" s="688" t="s">
        <v>886</v>
      </c>
      <c r="W189" s="695">
        <v>34335</v>
      </c>
      <c r="X189" s="696" t="s">
        <v>1577</v>
      </c>
      <c r="Y189" s="688" t="s">
        <v>1610</v>
      </c>
      <c r="Z189" s="688" t="s">
        <v>1611</v>
      </c>
      <c r="AA189" s="688" t="s">
        <v>891</v>
      </c>
      <c r="AB189" s="688" t="s">
        <v>891</v>
      </c>
      <c r="AC189" s="688"/>
      <c r="AD189" s="688"/>
      <c r="AE189" s="689">
        <v>2896261.56</v>
      </c>
      <c r="AF189" s="693">
        <v>2.54</v>
      </c>
      <c r="AG189" s="688" t="s">
        <v>891</v>
      </c>
      <c r="AH189" s="693">
        <v>0.78</v>
      </c>
      <c r="AI189" s="697" t="s">
        <v>1577</v>
      </c>
      <c r="AJ189" s="698" t="s">
        <v>1612</v>
      </c>
      <c r="AK189" s="699">
        <f t="shared" si="32"/>
        <v>19932.5</v>
      </c>
      <c r="AL189" s="685" t="s">
        <v>159</v>
      </c>
      <c r="AM189" s="699">
        <v>2500</v>
      </c>
      <c r="AN189" s="699">
        <v>1000</v>
      </c>
    </row>
    <row r="190" spans="1:40" x14ac:dyDescent="0.3">
      <c r="A190" s="669" t="s">
        <v>1613</v>
      </c>
      <c r="B190" s="686" t="e">
        <f t="shared" si="30"/>
        <v>#REF!</v>
      </c>
      <c r="C190" s="687">
        <f t="shared" si="30"/>
        <v>189</v>
      </c>
      <c r="D190" s="688">
        <v>100</v>
      </c>
      <c r="E190" s="688">
        <v>188</v>
      </c>
      <c r="F190" s="689"/>
      <c r="G190" s="689">
        <v>30.54</v>
      </c>
      <c r="H190" s="690">
        <v>1.0569999999999999</v>
      </c>
      <c r="I190" s="691">
        <f t="shared" si="27"/>
        <v>0</v>
      </c>
      <c r="J190" s="692">
        <f t="shared" si="28"/>
        <v>0</v>
      </c>
      <c r="K190" s="692">
        <v>0</v>
      </c>
      <c r="L190" s="692">
        <f t="shared" si="29"/>
        <v>0</v>
      </c>
      <c r="M190" s="693">
        <v>1.91</v>
      </c>
      <c r="N190" s="693">
        <v>1.67</v>
      </c>
      <c r="O190" s="691">
        <f t="shared" si="31"/>
        <v>0</v>
      </c>
      <c r="P190" s="688" t="s">
        <v>1608</v>
      </c>
      <c r="Q190" s="694">
        <v>5000</v>
      </c>
      <c r="R190" s="688" t="s">
        <v>886</v>
      </c>
      <c r="S190" s="688" t="e">
        <f>+#REF!</f>
        <v>#REF!</v>
      </c>
      <c r="T190" s="688" t="s">
        <v>1609</v>
      </c>
      <c r="U190" s="694">
        <v>5000</v>
      </c>
      <c r="V190" s="688" t="s">
        <v>886</v>
      </c>
      <c r="W190" s="695">
        <v>34335</v>
      </c>
      <c r="X190" s="696" t="s">
        <v>1577</v>
      </c>
      <c r="Y190" s="688" t="s">
        <v>1614</v>
      </c>
      <c r="Z190" s="688" t="s">
        <v>1615</v>
      </c>
      <c r="AA190" s="688" t="s">
        <v>891</v>
      </c>
      <c r="AB190" s="688" t="s">
        <v>891</v>
      </c>
      <c r="AC190" s="688"/>
      <c r="AD190" s="688"/>
      <c r="AE190" s="689">
        <v>2470159.11</v>
      </c>
      <c r="AF190" s="693">
        <v>2.17</v>
      </c>
      <c r="AG190" s="688" t="s">
        <v>891</v>
      </c>
      <c r="AH190" s="693">
        <v>0.67</v>
      </c>
      <c r="AI190" s="697" t="s">
        <v>1577</v>
      </c>
      <c r="AJ190" s="698" t="s">
        <v>1612</v>
      </c>
      <c r="AK190" s="699">
        <f t="shared" si="32"/>
        <v>25959</v>
      </c>
      <c r="AL190" s="685" t="s">
        <v>159</v>
      </c>
      <c r="AM190" s="699">
        <v>2500</v>
      </c>
      <c r="AN190" s="699">
        <v>1000</v>
      </c>
    </row>
    <row r="191" spans="1:40" x14ac:dyDescent="0.3">
      <c r="A191" s="669" t="s">
        <v>1616</v>
      </c>
      <c r="B191" s="686" t="e">
        <f>+#REF!+1</f>
        <v>#REF!</v>
      </c>
      <c r="C191" s="687">
        <v>190</v>
      </c>
      <c r="D191" s="688">
        <v>100</v>
      </c>
      <c r="E191" s="688">
        <v>217</v>
      </c>
      <c r="F191" s="689"/>
      <c r="G191" s="689">
        <v>90.67</v>
      </c>
      <c r="H191" s="690">
        <v>0.96599999999999997</v>
      </c>
      <c r="I191" s="691">
        <f t="shared" si="27"/>
        <v>0</v>
      </c>
      <c r="J191" s="692">
        <f t="shared" si="28"/>
        <v>0</v>
      </c>
      <c r="K191" s="692">
        <v>0</v>
      </c>
      <c r="L191" s="692">
        <f t="shared" si="29"/>
        <v>0</v>
      </c>
      <c r="M191" s="693">
        <v>3.81</v>
      </c>
      <c r="N191" s="693">
        <v>0</v>
      </c>
      <c r="O191" s="691">
        <f t="shared" si="31"/>
        <v>0</v>
      </c>
      <c r="P191" s="688" t="s">
        <v>1617</v>
      </c>
      <c r="Q191" s="694">
        <v>5000</v>
      </c>
      <c r="R191" s="688" t="s">
        <v>886</v>
      </c>
      <c r="S191" s="688" t="e">
        <f>+#REF!</f>
        <v>#REF!</v>
      </c>
      <c r="T191" s="688" t="s">
        <v>1609</v>
      </c>
      <c r="U191" s="694">
        <v>5000</v>
      </c>
      <c r="V191" s="688" t="s">
        <v>886</v>
      </c>
      <c r="W191" s="695">
        <v>34335</v>
      </c>
      <c r="X191" s="696" t="s">
        <v>1577</v>
      </c>
      <c r="Y191" s="688" t="s">
        <v>1618</v>
      </c>
      <c r="Z191" s="688" t="s">
        <v>1619</v>
      </c>
      <c r="AA191" s="688" t="s">
        <v>891</v>
      </c>
      <c r="AB191" s="688" t="s">
        <v>891</v>
      </c>
      <c r="AC191" s="688"/>
      <c r="AD191" s="688"/>
      <c r="AE191" s="689">
        <v>11813064.41</v>
      </c>
      <c r="AF191" s="693">
        <v>9.39</v>
      </c>
      <c r="AG191" s="688" t="s">
        <v>891</v>
      </c>
      <c r="AH191" s="693">
        <v>3.2</v>
      </c>
      <c r="AI191" s="697" t="s">
        <v>1577</v>
      </c>
      <c r="AJ191" s="698" t="s">
        <v>1620</v>
      </c>
      <c r="AK191" s="699">
        <f t="shared" si="32"/>
        <v>77069.5</v>
      </c>
      <c r="AL191" s="685" t="s">
        <v>159</v>
      </c>
      <c r="AM191" s="699">
        <v>2500</v>
      </c>
      <c r="AN191" s="699">
        <v>1000</v>
      </c>
    </row>
    <row r="192" spans="1:40" x14ac:dyDescent="0.3">
      <c r="A192" s="669" t="s">
        <v>1621</v>
      </c>
      <c r="B192" s="686" t="e">
        <f t="shared" si="30"/>
        <v>#REF!</v>
      </c>
      <c r="C192" s="687">
        <f t="shared" si="30"/>
        <v>191</v>
      </c>
      <c r="D192" s="688">
        <v>100</v>
      </c>
      <c r="E192" s="688">
        <v>215</v>
      </c>
      <c r="F192" s="689"/>
      <c r="G192" s="689">
        <v>88.46</v>
      </c>
      <c r="H192" s="690">
        <v>1</v>
      </c>
      <c r="I192" s="691">
        <f t="shared" si="27"/>
        <v>0</v>
      </c>
      <c r="J192" s="692">
        <f t="shared" si="28"/>
        <v>0</v>
      </c>
      <c r="K192" s="692">
        <v>0</v>
      </c>
      <c r="L192" s="692">
        <f t="shared" si="29"/>
        <v>0</v>
      </c>
      <c r="M192" s="693">
        <v>3.81</v>
      </c>
      <c r="N192" s="693">
        <v>0</v>
      </c>
      <c r="O192" s="691">
        <f t="shared" si="31"/>
        <v>0</v>
      </c>
      <c r="P192" s="688" t="s">
        <v>1622</v>
      </c>
      <c r="Q192" s="694">
        <v>5000</v>
      </c>
      <c r="R192" s="688" t="s">
        <v>886</v>
      </c>
      <c r="S192" s="688" t="e">
        <f>+#REF!</f>
        <v>#REF!</v>
      </c>
      <c r="T192" s="688" t="s">
        <v>1623</v>
      </c>
      <c r="U192" s="694">
        <v>5000</v>
      </c>
      <c r="V192" s="688" t="s">
        <v>886</v>
      </c>
      <c r="W192" s="695">
        <v>34335</v>
      </c>
      <c r="X192" s="696" t="s">
        <v>1577</v>
      </c>
      <c r="Y192" s="688" t="s">
        <v>1624</v>
      </c>
      <c r="Z192" s="688" t="s">
        <v>1625</v>
      </c>
      <c r="AA192" s="688" t="s">
        <v>891</v>
      </c>
      <c r="AB192" s="688" t="s">
        <v>891</v>
      </c>
      <c r="AC192" s="688"/>
      <c r="AD192" s="688"/>
      <c r="AE192" s="689">
        <v>11820816.92</v>
      </c>
      <c r="AF192" s="693">
        <v>9.8800000000000008</v>
      </c>
      <c r="AG192" s="688" t="s">
        <v>891</v>
      </c>
      <c r="AH192" s="693">
        <v>3.33</v>
      </c>
      <c r="AI192" s="697" t="s">
        <v>1577</v>
      </c>
      <c r="AJ192" s="698" t="s">
        <v>1626</v>
      </c>
      <c r="AK192" s="699">
        <f t="shared" si="32"/>
        <v>75191</v>
      </c>
      <c r="AL192" s="685" t="s">
        <v>159</v>
      </c>
      <c r="AM192" s="699">
        <v>2500</v>
      </c>
      <c r="AN192" s="699">
        <v>1000</v>
      </c>
    </row>
    <row r="193" spans="1:40" x14ac:dyDescent="0.3">
      <c r="B193" s="686"/>
      <c r="C193" s="687">
        <v>192</v>
      </c>
      <c r="D193" s="688"/>
      <c r="E193" s="688"/>
      <c r="F193" s="689"/>
      <c r="G193" s="689">
        <v>106.16</v>
      </c>
      <c r="H193" s="690"/>
      <c r="I193" s="691"/>
      <c r="J193" s="692"/>
      <c r="K193" s="692"/>
      <c r="L193" s="692"/>
      <c r="M193" s="693"/>
      <c r="N193" s="693"/>
      <c r="O193" s="691"/>
      <c r="P193" s="688" t="s">
        <v>1627</v>
      </c>
      <c r="Q193" s="694"/>
      <c r="R193" s="688"/>
      <c r="S193" s="688" t="e">
        <f>+#REF!</f>
        <v>#REF!</v>
      </c>
      <c r="T193" s="688"/>
      <c r="U193" s="694"/>
      <c r="V193" s="688"/>
      <c r="W193" s="695"/>
      <c r="X193" s="696"/>
      <c r="Y193" s="688"/>
      <c r="Z193" s="688"/>
      <c r="AA193" s="688"/>
      <c r="AB193" s="688"/>
      <c r="AC193" s="688"/>
      <c r="AD193" s="688"/>
      <c r="AE193" s="689"/>
      <c r="AF193" s="693"/>
      <c r="AG193" s="688"/>
      <c r="AH193" s="693"/>
      <c r="AI193" s="697">
        <v>1950</v>
      </c>
      <c r="AJ193" s="698" t="s">
        <v>1628</v>
      </c>
      <c r="AK193" s="699">
        <f t="shared" si="32"/>
        <v>90236</v>
      </c>
      <c r="AL193" s="685" t="s">
        <v>159</v>
      </c>
      <c r="AM193" s="699">
        <v>2500</v>
      </c>
      <c r="AN193" s="699">
        <v>1000</v>
      </c>
    </row>
    <row r="194" spans="1:40" x14ac:dyDescent="0.3">
      <c r="A194" s="669" t="s">
        <v>1629</v>
      </c>
      <c r="B194" s="686" t="e">
        <f>+#REF!+1</f>
        <v>#REF!</v>
      </c>
      <c r="C194" s="687">
        <v>193</v>
      </c>
      <c r="D194" s="688">
        <v>100</v>
      </c>
      <c r="E194" s="688">
        <v>220</v>
      </c>
      <c r="F194" s="689"/>
      <c r="G194" s="689">
        <v>33.86</v>
      </c>
      <c r="H194" s="690">
        <v>1.0569999999999999</v>
      </c>
      <c r="I194" s="691">
        <f t="shared" si="27"/>
        <v>0</v>
      </c>
      <c r="J194" s="692">
        <f t="shared" si="28"/>
        <v>0</v>
      </c>
      <c r="K194" s="692">
        <v>0</v>
      </c>
      <c r="L194" s="692">
        <f t="shared" si="29"/>
        <v>0</v>
      </c>
      <c r="M194" s="693">
        <v>5.08</v>
      </c>
      <c r="N194" s="693">
        <v>0</v>
      </c>
      <c r="O194" s="691">
        <f t="shared" si="31"/>
        <v>0</v>
      </c>
      <c r="P194" s="688" t="s">
        <v>1627</v>
      </c>
      <c r="Q194" s="694">
        <v>5000</v>
      </c>
      <c r="R194" s="688" t="s">
        <v>886</v>
      </c>
      <c r="S194" s="688" t="e">
        <f>+#REF!</f>
        <v>#REF!</v>
      </c>
      <c r="T194" s="688" t="s">
        <v>1630</v>
      </c>
      <c r="U194" s="694">
        <v>5000</v>
      </c>
      <c r="V194" s="688" t="s">
        <v>886</v>
      </c>
      <c r="W194" s="695">
        <v>35626</v>
      </c>
      <c r="X194" s="696" t="s">
        <v>1577</v>
      </c>
      <c r="Y194" s="688" t="s">
        <v>1631</v>
      </c>
      <c r="Z194" s="688" t="s">
        <v>1632</v>
      </c>
      <c r="AA194" s="688" t="s">
        <v>891</v>
      </c>
      <c r="AB194" s="688" t="s">
        <v>891</v>
      </c>
      <c r="AC194" s="688"/>
      <c r="AD194" s="688"/>
      <c r="AE194" s="689">
        <v>4893805.6500000004</v>
      </c>
      <c r="AF194" s="693">
        <v>3.9</v>
      </c>
      <c r="AG194" s="688" t="s">
        <v>891</v>
      </c>
      <c r="AH194" s="693">
        <v>1.325099</v>
      </c>
      <c r="AI194" s="697" t="s">
        <v>1577</v>
      </c>
      <c r="AJ194" s="698" t="s">
        <v>1633</v>
      </c>
      <c r="AK194" s="699">
        <f t="shared" si="32"/>
        <v>28781</v>
      </c>
      <c r="AL194" s="685" t="s">
        <v>159</v>
      </c>
      <c r="AM194" s="699">
        <v>2500</v>
      </c>
      <c r="AN194" s="699">
        <v>1000</v>
      </c>
    </row>
    <row r="195" spans="1:40" x14ac:dyDescent="0.3">
      <c r="A195" s="669" t="s">
        <v>1634</v>
      </c>
      <c r="B195" s="686" t="e">
        <f t="shared" si="30"/>
        <v>#REF!</v>
      </c>
      <c r="C195" s="687">
        <f t="shared" si="30"/>
        <v>194</v>
      </c>
      <c r="D195" s="688">
        <v>100</v>
      </c>
      <c r="E195" s="688">
        <v>223</v>
      </c>
      <c r="F195" s="689"/>
      <c r="G195" s="689">
        <v>52.23</v>
      </c>
      <c r="H195" s="690">
        <v>1</v>
      </c>
      <c r="I195" s="691">
        <f t="shared" si="27"/>
        <v>0</v>
      </c>
      <c r="J195" s="692">
        <f t="shared" si="28"/>
        <v>0</v>
      </c>
      <c r="K195" s="692">
        <v>0</v>
      </c>
      <c r="L195" s="692">
        <f t="shared" si="29"/>
        <v>0</v>
      </c>
      <c r="M195" s="693">
        <v>5.08</v>
      </c>
      <c r="N195" s="693">
        <v>0</v>
      </c>
      <c r="O195" s="691">
        <f t="shared" si="31"/>
        <v>0</v>
      </c>
      <c r="P195" s="688" t="s">
        <v>1627</v>
      </c>
      <c r="Q195" s="694">
        <v>5000</v>
      </c>
      <c r="R195" s="688" t="s">
        <v>886</v>
      </c>
      <c r="S195" s="688" t="e">
        <f>+#REF!</f>
        <v>#REF!</v>
      </c>
      <c r="T195" s="688" t="s">
        <v>1635</v>
      </c>
      <c r="U195" s="694">
        <v>5000</v>
      </c>
      <c r="V195" s="688" t="s">
        <v>886</v>
      </c>
      <c r="W195" s="695">
        <v>35621</v>
      </c>
      <c r="X195" s="696" t="s">
        <v>1577</v>
      </c>
      <c r="Y195" s="688" t="s">
        <v>1636</v>
      </c>
      <c r="Z195" s="688" t="s">
        <v>1637</v>
      </c>
      <c r="AA195" s="688" t="s">
        <v>891</v>
      </c>
      <c r="AB195" s="688" t="s">
        <v>891</v>
      </c>
      <c r="AC195" s="688"/>
      <c r="AD195" s="688"/>
      <c r="AE195" s="689">
        <v>7239140.1500000004</v>
      </c>
      <c r="AF195" s="693">
        <v>5.77</v>
      </c>
      <c r="AG195" s="688" t="s">
        <v>891</v>
      </c>
      <c r="AH195" s="693">
        <v>1.9601459999999999</v>
      </c>
      <c r="AI195" s="697" t="s">
        <v>1577</v>
      </c>
      <c r="AJ195" s="698" t="s">
        <v>1638</v>
      </c>
      <c r="AK195" s="699">
        <f t="shared" si="32"/>
        <v>44395.5</v>
      </c>
      <c r="AL195" s="685" t="s">
        <v>159</v>
      </c>
      <c r="AM195" s="699">
        <v>2500</v>
      </c>
      <c r="AN195" s="699">
        <v>1000</v>
      </c>
    </row>
    <row r="196" spans="1:40" x14ac:dyDescent="0.3">
      <c r="A196" s="669" t="s">
        <v>1639</v>
      </c>
      <c r="B196" s="686" t="e">
        <f>+#REF!+1</f>
        <v>#REF!</v>
      </c>
      <c r="C196" s="687">
        <v>195</v>
      </c>
      <c r="D196" s="688">
        <v>100</v>
      </c>
      <c r="E196" s="688">
        <v>220</v>
      </c>
      <c r="F196" s="689"/>
      <c r="G196" s="689">
        <v>29.69</v>
      </c>
      <c r="H196" s="690">
        <v>1.0569999999999999</v>
      </c>
      <c r="I196" s="691">
        <f t="shared" si="27"/>
        <v>0</v>
      </c>
      <c r="J196" s="692">
        <f t="shared" si="28"/>
        <v>0</v>
      </c>
      <c r="K196" s="692">
        <v>0</v>
      </c>
      <c r="L196" s="692">
        <f t="shared" si="29"/>
        <v>0</v>
      </c>
      <c r="M196" s="693">
        <v>5.08</v>
      </c>
      <c r="N196" s="693">
        <v>0</v>
      </c>
      <c r="O196" s="691">
        <f t="shared" si="31"/>
        <v>0</v>
      </c>
      <c r="P196" s="688" t="s">
        <v>1640</v>
      </c>
      <c r="Q196" s="694">
        <v>5000</v>
      </c>
      <c r="R196" s="688" t="s">
        <v>886</v>
      </c>
      <c r="S196" s="688" t="e">
        <f>+#REF!</f>
        <v>#REF!</v>
      </c>
      <c r="T196" s="688" t="s">
        <v>1640</v>
      </c>
      <c r="U196" s="694">
        <v>5000</v>
      </c>
      <c r="V196" s="688" t="s">
        <v>886</v>
      </c>
      <c r="W196" s="695">
        <v>35621</v>
      </c>
      <c r="X196" s="696" t="s">
        <v>1577</v>
      </c>
      <c r="Y196" s="688" t="s">
        <v>1641</v>
      </c>
      <c r="Z196" s="688" t="s">
        <v>1642</v>
      </c>
      <c r="AA196" s="688" t="s">
        <v>891</v>
      </c>
      <c r="AB196" s="688" t="s">
        <v>891</v>
      </c>
      <c r="AC196" s="688"/>
      <c r="AD196" s="688"/>
      <c r="AE196" s="689">
        <v>4291113.0999999996</v>
      </c>
      <c r="AF196" s="693">
        <v>3.6168459999999998</v>
      </c>
      <c r="AG196" s="688" t="s">
        <v>891</v>
      </c>
      <c r="AH196" s="693">
        <v>1.161907</v>
      </c>
      <c r="AI196" s="697" t="s">
        <v>1577</v>
      </c>
      <c r="AJ196" s="698" t="s">
        <v>1643</v>
      </c>
      <c r="AK196" s="699">
        <f t="shared" si="32"/>
        <v>25236.5</v>
      </c>
      <c r="AL196" s="685" t="s">
        <v>159</v>
      </c>
      <c r="AM196" s="699">
        <v>2500</v>
      </c>
      <c r="AN196" s="699">
        <v>1000</v>
      </c>
    </row>
    <row r="197" spans="1:40" x14ac:dyDescent="0.3">
      <c r="A197" s="669" t="s">
        <v>1644</v>
      </c>
      <c r="B197" s="686" t="e">
        <f t="shared" ref="B197:C209" si="33">+B196+1</f>
        <v>#REF!</v>
      </c>
      <c r="C197" s="687">
        <f t="shared" si="33"/>
        <v>196</v>
      </c>
      <c r="D197" s="688">
        <v>100</v>
      </c>
      <c r="E197" s="688">
        <v>220</v>
      </c>
      <c r="F197" s="689"/>
      <c r="G197" s="689">
        <v>32.880000000000003</v>
      </c>
      <c r="H197" s="690">
        <v>1.0569999999999999</v>
      </c>
      <c r="I197" s="691">
        <f t="shared" si="27"/>
        <v>0</v>
      </c>
      <c r="J197" s="692">
        <f t="shared" si="28"/>
        <v>0</v>
      </c>
      <c r="K197" s="692">
        <v>0</v>
      </c>
      <c r="L197" s="692">
        <f t="shared" si="29"/>
        <v>0</v>
      </c>
      <c r="M197" s="693">
        <v>1.91</v>
      </c>
      <c r="N197" s="693">
        <v>1.67</v>
      </c>
      <c r="O197" s="691">
        <f t="shared" si="31"/>
        <v>0</v>
      </c>
      <c r="P197" s="688" t="s">
        <v>1640</v>
      </c>
      <c r="Q197" s="694">
        <v>5000</v>
      </c>
      <c r="R197" s="688" t="s">
        <v>886</v>
      </c>
      <c r="S197" s="688" t="e">
        <f>+#REF!</f>
        <v>#REF!</v>
      </c>
      <c r="T197" s="688" t="s">
        <v>1640</v>
      </c>
      <c r="U197" s="694">
        <v>5000</v>
      </c>
      <c r="V197" s="688" t="s">
        <v>886</v>
      </c>
      <c r="W197" s="695">
        <v>35621</v>
      </c>
      <c r="X197" s="696" t="s">
        <v>1577</v>
      </c>
      <c r="Y197" s="688" t="s">
        <v>1645</v>
      </c>
      <c r="Z197" s="688" t="s">
        <v>1646</v>
      </c>
      <c r="AA197" s="688" t="s">
        <v>891</v>
      </c>
      <c r="AB197" s="688" t="s">
        <v>891</v>
      </c>
      <c r="AC197" s="688"/>
      <c r="AD197" s="688"/>
      <c r="AE197" s="689">
        <v>4752165.67</v>
      </c>
      <c r="AF197" s="693">
        <v>4.0054530000000002</v>
      </c>
      <c r="AG197" s="688" t="s">
        <v>891</v>
      </c>
      <c r="AH197" s="693">
        <v>1.2867470000000001</v>
      </c>
      <c r="AI197" s="697" t="s">
        <v>1577</v>
      </c>
      <c r="AJ197" s="698" t="s">
        <v>1647</v>
      </c>
      <c r="AK197" s="699">
        <f t="shared" si="32"/>
        <v>27948.000000000004</v>
      </c>
      <c r="AL197" s="685" t="s">
        <v>159</v>
      </c>
      <c r="AM197" s="699">
        <v>2500</v>
      </c>
      <c r="AN197" s="699">
        <v>1000</v>
      </c>
    </row>
    <row r="198" spans="1:40" x14ac:dyDescent="0.3">
      <c r="A198" s="669" t="s">
        <v>1648</v>
      </c>
      <c r="B198" s="686" t="e">
        <f t="shared" si="33"/>
        <v>#REF!</v>
      </c>
      <c r="C198" s="687">
        <f t="shared" si="33"/>
        <v>197</v>
      </c>
      <c r="D198" s="688">
        <v>100</v>
      </c>
      <c r="E198" s="688">
        <v>223</v>
      </c>
      <c r="F198" s="689"/>
      <c r="G198" s="689">
        <v>64.09</v>
      </c>
      <c r="H198" s="690">
        <v>1</v>
      </c>
      <c r="I198" s="691">
        <f t="shared" si="27"/>
        <v>0</v>
      </c>
      <c r="J198" s="692">
        <f t="shared" si="28"/>
        <v>0</v>
      </c>
      <c r="K198" s="692">
        <v>0</v>
      </c>
      <c r="L198" s="692">
        <f t="shared" si="29"/>
        <v>0</v>
      </c>
      <c r="M198" s="693">
        <v>5.08</v>
      </c>
      <c r="N198" s="693">
        <v>0</v>
      </c>
      <c r="O198" s="691">
        <f t="shared" si="31"/>
        <v>0</v>
      </c>
      <c r="P198" s="688" t="s">
        <v>1640</v>
      </c>
      <c r="Q198" s="694">
        <v>5000</v>
      </c>
      <c r="R198" s="688" t="s">
        <v>886</v>
      </c>
      <c r="S198" s="688" t="e">
        <f>+#REF!</f>
        <v>#REF!</v>
      </c>
      <c r="T198" s="688" t="s">
        <v>1640</v>
      </c>
      <c r="U198" s="694">
        <v>5000</v>
      </c>
      <c r="V198" s="688" t="s">
        <v>886</v>
      </c>
      <c r="W198" s="695">
        <v>35621</v>
      </c>
      <c r="X198" s="696" t="s">
        <v>1577</v>
      </c>
      <c r="Y198" s="688" t="s">
        <v>1649</v>
      </c>
      <c r="Z198" s="688" t="s">
        <v>1650</v>
      </c>
      <c r="AA198" s="688" t="s">
        <v>891</v>
      </c>
      <c r="AB198" s="688" t="s">
        <v>891</v>
      </c>
      <c r="AC198" s="688"/>
      <c r="AD198" s="688"/>
      <c r="AE198" s="689">
        <v>8853844.0199999996</v>
      </c>
      <c r="AF198" s="693">
        <v>7.4626299999999999</v>
      </c>
      <c r="AG198" s="688" t="s">
        <v>891</v>
      </c>
      <c r="AH198" s="693">
        <v>2.3973599999999999</v>
      </c>
      <c r="AI198" s="697" t="s">
        <v>1577</v>
      </c>
      <c r="AJ198" s="698" t="s">
        <v>1651</v>
      </c>
      <c r="AK198" s="699">
        <f t="shared" si="32"/>
        <v>54476.5</v>
      </c>
      <c r="AL198" s="685" t="s">
        <v>159</v>
      </c>
      <c r="AM198" s="699">
        <v>2500</v>
      </c>
      <c r="AN198" s="699">
        <v>1000</v>
      </c>
    </row>
    <row r="199" spans="1:40" x14ac:dyDescent="0.3">
      <c r="A199" s="669" t="s">
        <v>1652</v>
      </c>
      <c r="B199" s="686" t="e">
        <f t="shared" si="33"/>
        <v>#REF!</v>
      </c>
      <c r="C199" s="687">
        <f t="shared" si="33"/>
        <v>198</v>
      </c>
      <c r="D199" s="688">
        <v>100</v>
      </c>
      <c r="E199" s="688">
        <v>223</v>
      </c>
      <c r="F199" s="689"/>
      <c r="G199" s="689">
        <v>68.09</v>
      </c>
      <c r="H199" s="690">
        <v>0.96599999999999997</v>
      </c>
      <c r="I199" s="691">
        <f t="shared" si="27"/>
        <v>0</v>
      </c>
      <c r="J199" s="692">
        <f t="shared" si="28"/>
        <v>0</v>
      </c>
      <c r="K199" s="692">
        <v>0</v>
      </c>
      <c r="L199" s="692">
        <f t="shared" si="29"/>
        <v>0</v>
      </c>
      <c r="M199" s="693">
        <v>1.3943700000000001</v>
      </c>
      <c r="N199" s="693">
        <v>1.21916</v>
      </c>
      <c r="O199" s="691">
        <f t="shared" si="31"/>
        <v>0</v>
      </c>
      <c r="P199" s="688" t="s">
        <v>1640</v>
      </c>
      <c r="Q199" s="694">
        <v>5000</v>
      </c>
      <c r="R199" s="688" t="s">
        <v>886</v>
      </c>
      <c r="S199" s="688" t="e">
        <f>+#REF!</f>
        <v>#REF!</v>
      </c>
      <c r="T199" s="688" t="s">
        <v>1640</v>
      </c>
      <c r="U199" s="694">
        <v>5000</v>
      </c>
      <c r="V199" s="688" t="s">
        <v>886</v>
      </c>
      <c r="W199" s="695">
        <v>35466</v>
      </c>
      <c r="X199" s="696" t="s">
        <v>1577</v>
      </c>
      <c r="Y199" s="688" t="s">
        <v>1653</v>
      </c>
      <c r="Z199" s="688" t="s">
        <v>1654</v>
      </c>
      <c r="AA199" s="688" t="s">
        <v>891</v>
      </c>
      <c r="AB199" s="688" t="s">
        <v>891</v>
      </c>
      <c r="AC199" s="688"/>
      <c r="AD199" s="688"/>
      <c r="AE199" s="689">
        <v>8568879.9700000007</v>
      </c>
      <c r="AF199" s="693">
        <v>7.4766490000000001</v>
      </c>
      <c r="AG199" s="688" t="s">
        <v>891</v>
      </c>
      <c r="AH199" s="693">
        <v>2.4018640000000002</v>
      </c>
      <c r="AI199" s="697" t="s">
        <v>1577</v>
      </c>
      <c r="AJ199" s="698" t="s">
        <v>1655</v>
      </c>
      <c r="AK199" s="699">
        <f t="shared" si="32"/>
        <v>57876.5</v>
      </c>
      <c r="AL199" s="685" t="s">
        <v>159</v>
      </c>
      <c r="AM199" s="699">
        <v>2500</v>
      </c>
      <c r="AN199" s="699">
        <v>1000</v>
      </c>
    </row>
    <row r="200" spans="1:40" x14ac:dyDescent="0.3">
      <c r="A200" s="669" t="s">
        <v>1656</v>
      </c>
      <c r="B200" s="686" t="e">
        <f t="shared" si="33"/>
        <v>#REF!</v>
      </c>
      <c r="C200" s="687">
        <f t="shared" si="33"/>
        <v>199</v>
      </c>
      <c r="D200" s="688">
        <v>100</v>
      </c>
      <c r="E200" s="688">
        <v>272</v>
      </c>
      <c r="F200" s="689"/>
      <c r="G200" s="689">
        <v>99.03</v>
      </c>
      <c r="H200" s="690">
        <v>0.96599999999999997</v>
      </c>
      <c r="I200" s="691">
        <f t="shared" si="27"/>
        <v>0</v>
      </c>
      <c r="J200" s="692">
        <f t="shared" si="28"/>
        <v>0</v>
      </c>
      <c r="K200" s="692">
        <v>0</v>
      </c>
      <c r="L200" s="692">
        <f t="shared" si="29"/>
        <v>0</v>
      </c>
      <c r="M200" s="693">
        <v>6.35</v>
      </c>
      <c r="N200" s="693">
        <v>0</v>
      </c>
      <c r="O200" s="691"/>
      <c r="P200" s="688" t="s">
        <v>1657</v>
      </c>
      <c r="Q200" s="694">
        <v>5000</v>
      </c>
      <c r="R200" s="688" t="s">
        <v>886</v>
      </c>
      <c r="S200" s="688" t="e">
        <f>+#REF!</f>
        <v>#REF!</v>
      </c>
      <c r="T200" s="688" t="s">
        <v>1658</v>
      </c>
      <c r="U200" s="694">
        <v>5000</v>
      </c>
      <c r="V200" s="688" t="s">
        <v>886</v>
      </c>
      <c r="W200" s="695">
        <v>36770</v>
      </c>
      <c r="X200" s="696" t="s">
        <v>1577</v>
      </c>
      <c r="Y200" s="688" t="s">
        <v>1659</v>
      </c>
      <c r="Z200" s="688" t="s">
        <v>1660</v>
      </c>
      <c r="AA200" s="688" t="s">
        <v>891</v>
      </c>
      <c r="AB200" s="688" t="s">
        <v>891</v>
      </c>
      <c r="AC200" s="688"/>
      <c r="AD200" s="688"/>
      <c r="AE200" s="689">
        <v>12211180.640000001</v>
      </c>
      <c r="AF200" s="693">
        <v>9.7575289999999999</v>
      </c>
      <c r="AG200" s="688" t="s">
        <v>891</v>
      </c>
      <c r="AH200" s="693">
        <v>3.3064279999999999</v>
      </c>
      <c r="AI200" s="697" t="s">
        <v>1577</v>
      </c>
      <c r="AJ200" s="698" t="s">
        <v>1661</v>
      </c>
      <c r="AK200" s="699">
        <f t="shared" si="32"/>
        <v>84175.5</v>
      </c>
      <c r="AL200" s="685" t="s">
        <v>159</v>
      </c>
      <c r="AM200" s="699">
        <v>2500</v>
      </c>
      <c r="AN200" s="699">
        <v>1000</v>
      </c>
    </row>
    <row r="201" spans="1:40" x14ac:dyDescent="0.3">
      <c r="A201" s="669" t="s">
        <v>1662</v>
      </c>
      <c r="B201" s="686" t="e">
        <f>+#REF!+1</f>
        <v>#REF!</v>
      </c>
      <c r="C201" s="687">
        <v>200</v>
      </c>
      <c r="D201" s="688">
        <v>100</v>
      </c>
      <c r="E201" s="688">
        <v>249</v>
      </c>
      <c r="F201" s="689"/>
      <c r="G201" s="689">
        <v>31.14</v>
      </c>
      <c r="H201" s="690">
        <v>1.0569999999999999</v>
      </c>
      <c r="I201" s="691">
        <f t="shared" si="27"/>
        <v>0</v>
      </c>
      <c r="J201" s="692">
        <f t="shared" si="28"/>
        <v>0</v>
      </c>
      <c r="K201" s="692">
        <v>8227</v>
      </c>
      <c r="L201" s="692">
        <f t="shared" si="29"/>
        <v>-8227</v>
      </c>
      <c r="M201" s="693">
        <v>1.91</v>
      </c>
      <c r="N201" s="693">
        <v>1.67</v>
      </c>
      <c r="O201" s="691">
        <f t="shared" ref="O201:O264" si="34">ROUND(+I201*N201/(12*100),0)</f>
        <v>0</v>
      </c>
      <c r="P201" s="688" t="s">
        <v>1663</v>
      </c>
      <c r="Q201" s="694">
        <v>5000</v>
      </c>
      <c r="R201" s="688" t="s">
        <v>886</v>
      </c>
      <c r="S201" s="688" t="e">
        <f>+#REF!</f>
        <v>#REF!</v>
      </c>
      <c r="T201" s="688" t="s">
        <v>1664</v>
      </c>
      <c r="U201" s="694">
        <v>5000</v>
      </c>
      <c r="V201" s="688" t="s">
        <v>886</v>
      </c>
      <c r="W201" s="695">
        <v>37012</v>
      </c>
      <c r="X201" s="696" t="s">
        <v>1450</v>
      </c>
      <c r="Y201" s="688" t="s">
        <v>1665</v>
      </c>
      <c r="Z201" s="688" t="s">
        <v>1666</v>
      </c>
      <c r="AA201" s="688" t="s">
        <v>891</v>
      </c>
      <c r="AB201" s="688" t="s">
        <v>891</v>
      </c>
      <c r="AC201" s="688" t="s">
        <v>1074</v>
      </c>
      <c r="AD201" s="688" t="s">
        <v>1667</v>
      </c>
      <c r="AE201" s="689">
        <v>5093954.2300000004</v>
      </c>
      <c r="AF201" s="693">
        <v>3.2799670000000001</v>
      </c>
      <c r="AG201" s="688" t="s">
        <v>891</v>
      </c>
      <c r="AH201" s="693">
        <v>3.2799670000000001</v>
      </c>
      <c r="AI201" s="697" t="s">
        <v>1450</v>
      </c>
      <c r="AJ201" s="698" t="s">
        <v>1668</v>
      </c>
      <c r="AK201" s="699">
        <f>G201*1000</f>
        <v>31140</v>
      </c>
      <c r="AL201" s="685" t="s">
        <v>159</v>
      </c>
      <c r="AM201" s="699">
        <v>2500</v>
      </c>
      <c r="AN201" s="699">
        <v>1000</v>
      </c>
    </row>
    <row r="202" spans="1:40" x14ac:dyDescent="0.3">
      <c r="A202" s="669" t="s">
        <v>1669</v>
      </c>
      <c r="B202" s="686" t="e">
        <f t="shared" si="33"/>
        <v>#REF!</v>
      </c>
      <c r="C202" s="687">
        <f t="shared" si="33"/>
        <v>201</v>
      </c>
      <c r="D202" s="688">
        <v>100</v>
      </c>
      <c r="E202" s="688">
        <v>313</v>
      </c>
      <c r="F202" s="689"/>
      <c r="G202" s="689">
        <v>78.069999999999993</v>
      </c>
      <c r="H202" s="690">
        <v>0.96599999999999997</v>
      </c>
      <c r="I202" s="691">
        <f t="shared" si="27"/>
        <v>0</v>
      </c>
      <c r="J202" s="692">
        <f t="shared" si="28"/>
        <v>0</v>
      </c>
      <c r="K202" s="692">
        <v>0</v>
      </c>
      <c r="L202" s="692">
        <f t="shared" si="29"/>
        <v>0</v>
      </c>
      <c r="M202" s="693">
        <v>6.35</v>
      </c>
      <c r="N202" s="693">
        <v>0</v>
      </c>
      <c r="O202" s="691">
        <f t="shared" si="34"/>
        <v>0</v>
      </c>
      <c r="P202" s="688" t="s">
        <v>1670</v>
      </c>
      <c r="Q202" s="694">
        <v>5000</v>
      </c>
      <c r="R202" s="688" t="s">
        <v>886</v>
      </c>
      <c r="S202" s="688" t="e">
        <f>+#REF!</f>
        <v>#REF!</v>
      </c>
      <c r="T202" s="688" t="s">
        <v>1671</v>
      </c>
      <c r="U202" s="694">
        <v>5000</v>
      </c>
      <c r="V202" s="688" t="s">
        <v>886</v>
      </c>
      <c r="W202" s="695">
        <v>35986</v>
      </c>
      <c r="X202" s="696" t="s">
        <v>754</v>
      </c>
      <c r="Y202" s="688" t="s">
        <v>1672</v>
      </c>
      <c r="Z202" s="688" t="s">
        <v>1673</v>
      </c>
      <c r="AA202" s="688" t="s">
        <v>891</v>
      </c>
      <c r="AB202" s="688" t="s">
        <v>891</v>
      </c>
      <c r="AC202" s="688"/>
      <c r="AD202" s="688"/>
      <c r="AE202" s="689">
        <v>14671271</v>
      </c>
      <c r="AF202" s="693">
        <v>100</v>
      </c>
      <c r="AG202" s="688" t="s">
        <v>891</v>
      </c>
      <c r="AH202" s="693">
        <v>100</v>
      </c>
      <c r="AI202" s="697" t="s">
        <v>754</v>
      </c>
      <c r="AJ202" s="698" t="s">
        <v>1674</v>
      </c>
      <c r="AK202" s="699">
        <f t="shared" ref="AK202:AK211" si="35">G202*1000</f>
        <v>78070</v>
      </c>
      <c r="AL202" s="685" t="s">
        <v>159</v>
      </c>
      <c r="AM202" s="699">
        <v>2500</v>
      </c>
      <c r="AN202" s="699">
        <v>1000</v>
      </c>
    </row>
    <row r="203" spans="1:40" x14ac:dyDescent="0.3">
      <c r="A203" s="669" t="s">
        <v>1675</v>
      </c>
      <c r="B203" s="686" t="e">
        <f t="shared" si="33"/>
        <v>#REF!</v>
      </c>
      <c r="C203" s="687">
        <f t="shared" si="33"/>
        <v>202</v>
      </c>
      <c r="D203" s="688">
        <v>100</v>
      </c>
      <c r="E203" s="688">
        <v>313</v>
      </c>
      <c r="F203" s="689"/>
      <c r="G203" s="689">
        <v>37.9</v>
      </c>
      <c r="H203" s="690">
        <v>1.024</v>
      </c>
      <c r="I203" s="691">
        <f t="shared" si="27"/>
        <v>0</v>
      </c>
      <c r="J203" s="692">
        <f t="shared" si="28"/>
        <v>0</v>
      </c>
      <c r="K203" s="692">
        <v>0</v>
      </c>
      <c r="L203" s="692">
        <f t="shared" si="29"/>
        <v>0</v>
      </c>
      <c r="M203" s="693">
        <v>6.35</v>
      </c>
      <c r="N203" s="693">
        <v>0</v>
      </c>
      <c r="O203" s="691">
        <f t="shared" si="34"/>
        <v>0</v>
      </c>
      <c r="P203" s="688" t="s">
        <v>1676</v>
      </c>
      <c r="Q203" s="694">
        <v>5000</v>
      </c>
      <c r="R203" s="688" t="s">
        <v>886</v>
      </c>
      <c r="S203" s="688" t="e">
        <f>+#REF!</f>
        <v>#REF!</v>
      </c>
      <c r="T203" s="688" t="s">
        <v>1677</v>
      </c>
      <c r="U203" s="694">
        <v>5000</v>
      </c>
      <c r="V203" s="688" t="s">
        <v>886</v>
      </c>
      <c r="W203" s="695">
        <v>36991</v>
      </c>
      <c r="X203" s="696" t="s">
        <v>754</v>
      </c>
      <c r="Y203" s="688" t="s">
        <v>1678</v>
      </c>
      <c r="Z203" s="688" t="s">
        <v>1679</v>
      </c>
      <c r="AA203" s="688" t="s">
        <v>891</v>
      </c>
      <c r="AB203" s="688" t="s">
        <v>891</v>
      </c>
      <c r="AC203" s="688"/>
      <c r="AD203" s="688"/>
      <c r="AE203" s="689">
        <v>7549976.5099999998</v>
      </c>
      <c r="AF203" s="693">
        <v>100</v>
      </c>
      <c r="AG203" s="688" t="s">
        <v>891</v>
      </c>
      <c r="AH203" s="693">
        <v>100</v>
      </c>
      <c r="AI203" s="697" t="s">
        <v>754</v>
      </c>
      <c r="AJ203" s="698" t="s">
        <v>1680</v>
      </c>
      <c r="AK203" s="699">
        <f t="shared" si="35"/>
        <v>37900</v>
      </c>
      <c r="AL203" s="685" t="s">
        <v>159</v>
      </c>
      <c r="AM203" s="699">
        <v>2500</v>
      </c>
      <c r="AN203" s="699">
        <v>1000</v>
      </c>
    </row>
    <row r="204" spans="1:40" x14ac:dyDescent="0.3">
      <c r="A204" s="669" t="s">
        <v>1681</v>
      </c>
      <c r="B204" s="686" t="e">
        <f t="shared" si="33"/>
        <v>#REF!</v>
      </c>
      <c r="C204" s="687">
        <f t="shared" si="33"/>
        <v>203</v>
      </c>
      <c r="D204" s="688">
        <v>100</v>
      </c>
      <c r="E204" s="688">
        <v>313</v>
      </c>
      <c r="F204" s="689"/>
      <c r="G204" s="689">
        <v>55.44</v>
      </c>
      <c r="H204" s="690">
        <v>1.024</v>
      </c>
      <c r="I204" s="691">
        <f t="shared" si="27"/>
        <v>0</v>
      </c>
      <c r="J204" s="692">
        <f t="shared" si="28"/>
        <v>0</v>
      </c>
      <c r="K204" s="692">
        <v>0</v>
      </c>
      <c r="L204" s="692">
        <f t="shared" si="29"/>
        <v>0</v>
      </c>
      <c r="M204" s="693">
        <v>6.35</v>
      </c>
      <c r="N204" s="693">
        <v>0</v>
      </c>
      <c r="O204" s="691">
        <f t="shared" si="34"/>
        <v>0</v>
      </c>
      <c r="P204" s="688" t="s">
        <v>1682</v>
      </c>
      <c r="Q204" s="694">
        <v>5000</v>
      </c>
      <c r="R204" s="688" t="s">
        <v>886</v>
      </c>
      <c r="S204" s="688" t="e">
        <f>+#REF!</f>
        <v>#REF!</v>
      </c>
      <c r="T204" s="688" t="s">
        <v>1682</v>
      </c>
      <c r="U204" s="694">
        <v>5000</v>
      </c>
      <c r="V204" s="688" t="s">
        <v>886</v>
      </c>
      <c r="W204" s="695">
        <v>35986</v>
      </c>
      <c r="X204" s="696" t="s">
        <v>754</v>
      </c>
      <c r="Y204" s="688" t="s">
        <v>1683</v>
      </c>
      <c r="Z204" s="688" t="s">
        <v>1684</v>
      </c>
      <c r="AA204" s="688" t="s">
        <v>891</v>
      </c>
      <c r="AB204" s="688" t="s">
        <v>891</v>
      </c>
      <c r="AC204" s="688"/>
      <c r="AD204" s="688"/>
      <c r="AE204" s="689">
        <v>7649580.4199999999</v>
      </c>
      <c r="AF204" s="693">
        <v>100</v>
      </c>
      <c r="AG204" s="688" t="s">
        <v>891</v>
      </c>
      <c r="AH204" s="693">
        <v>100</v>
      </c>
      <c r="AI204" s="697" t="s">
        <v>754</v>
      </c>
      <c r="AJ204" s="698" t="s">
        <v>1685</v>
      </c>
      <c r="AK204" s="699">
        <f t="shared" si="35"/>
        <v>55440</v>
      </c>
      <c r="AL204" s="685" t="s">
        <v>159</v>
      </c>
      <c r="AM204" s="699">
        <v>2500</v>
      </c>
      <c r="AN204" s="699">
        <v>1000</v>
      </c>
    </row>
    <row r="205" spans="1:40" x14ac:dyDescent="0.3">
      <c r="B205" s="686"/>
      <c r="C205" s="687">
        <v>204</v>
      </c>
      <c r="D205" s="688"/>
      <c r="E205" s="688"/>
      <c r="F205" s="689"/>
      <c r="G205" s="689">
        <v>51.58</v>
      </c>
      <c r="H205" s="690"/>
      <c r="I205" s="691"/>
      <c r="J205" s="692"/>
      <c r="K205" s="692"/>
      <c r="L205" s="692"/>
      <c r="M205" s="693"/>
      <c r="N205" s="693"/>
      <c r="O205" s="691"/>
      <c r="P205" s="688" t="s">
        <v>1686</v>
      </c>
      <c r="Q205" s="694"/>
      <c r="R205" s="688"/>
      <c r="S205" s="688" t="e">
        <f>+#REF!</f>
        <v>#REF!</v>
      </c>
      <c r="T205" s="688"/>
      <c r="U205" s="694"/>
      <c r="V205" s="688"/>
      <c r="W205" s="695"/>
      <c r="X205" s="696"/>
      <c r="Y205" s="688"/>
      <c r="Z205" s="688"/>
      <c r="AA205" s="688"/>
      <c r="AB205" s="688"/>
      <c r="AC205" s="688"/>
      <c r="AD205" s="688"/>
      <c r="AE205" s="689"/>
      <c r="AF205" s="693"/>
      <c r="AG205" s="688"/>
      <c r="AH205" s="693"/>
      <c r="AI205" s="697">
        <v>1988</v>
      </c>
      <c r="AJ205" s="698" t="s">
        <v>1687</v>
      </c>
      <c r="AK205" s="699">
        <f t="shared" si="35"/>
        <v>51580</v>
      </c>
      <c r="AL205" s="685" t="s">
        <v>159</v>
      </c>
      <c r="AM205" s="699">
        <v>2500</v>
      </c>
      <c r="AN205" s="699">
        <v>1000</v>
      </c>
    </row>
    <row r="206" spans="1:40" x14ac:dyDescent="0.3">
      <c r="A206" s="669" t="s">
        <v>1688</v>
      </c>
      <c r="B206" s="686" t="e">
        <f>+B204+1</f>
        <v>#REF!</v>
      </c>
      <c r="C206" s="687">
        <v>205</v>
      </c>
      <c r="D206" s="688">
        <v>100</v>
      </c>
      <c r="E206" s="688">
        <v>247</v>
      </c>
      <c r="F206" s="689"/>
      <c r="G206" s="689">
        <v>37.380000000000003</v>
      </c>
      <c r="H206" s="690">
        <v>1</v>
      </c>
      <c r="I206" s="691">
        <f t="shared" si="27"/>
        <v>0</v>
      </c>
      <c r="J206" s="692">
        <f t="shared" si="28"/>
        <v>0</v>
      </c>
      <c r="K206" s="692">
        <v>0</v>
      </c>
      <c r="L206" s="692">
        <f t="shared" si="29"/>
        <v>0</v>
      </c>
      <c r="M206" s="693">
        <v>3.81</v>
      </c>
      <c r="N206" s="693">
        <v>0</v>
      </c>
      <c r="O206" s="691">
        <f t="shared" si="34"/>
        <v>0</v>
      </c>
      <c r="P206" s="688" t="s">
        <v>1689</v>
      </c>
      <c r="Q206" s="694">
        <v>5000</v>
      </c>
      <c r="R206" s="688" t="s">
        <v>886</v>
      </c>
      <c r="S206" s="688" t="e">
        <f>+#REF!</f>
        <v>#REF!</v>
      </c>
      <c r="T206" s="688" t="s">
        <v>1690</v>
      </c>
      <c r="U206" s="694">
        <v>5000</v>
      </c>
      <c r="V206" s="688" t="s">
        <v>886</v>
      </c>
      <c r="W206" s="695">
        <v>34335</v>
      </c>
      <c r="X206" s="696" t="s">
        <v>1691</v>
      </c>
      <c r="Y206" s="688" t="s">
        <v>1692</v>
      </c>
      <c r="Z206" s="688" t="s">
        <v>1693</v>
      </c>
      <c r="AA206" s="688" t="s">
        <v>891</v>
      </c>
      <c r="AB206" s="688" t="s">
        <v>891</v>
      </c>
      <c r="AC206" s="688"/>
      <c r="AD206" s="688"/>
      <c r="AE206" s="689">
        <v>5738499.4800000004</v>
      </c>
      <c r="AF206" s="693">
        <v>4.8099999999999996</v>
      </c>
      <c r="AG206" s="688" t="s">
        <v>891</v>
      </c>
      <c r="AH206" s="693">
        <v>4.8099999999999996</v>
      </c>
      <c r="AI206" s="697" t="s">
        <v>1691</v>
      </c>
      <c r="AJ206" s="698" t="s">
        <v>1694</v>
      </c>
      <c r="AK206" s="699">
        <f t="shared" si="35"/>
        <v>37380</v>
      </c>
      <c r="AL206" s="685" t="s">
        <v>159</v>
      </c>
      <c r="AM206" s="699">
        <v>2500</v>
      </c>
      <c r="AN206" s="699">
        <v>1000</v>
      </c>
    </row>
    <row r="207" spans="1:40" x14ac:dyDescent="0.3">
      <c r="A207" s="669" t="s">
        <v>1695</v>
      </c>
      <c r="B207" s="686" t="e">
        <f t="shared" si="33"/>
        <v>#REF!</v>
      </c>
      <c r="C207" s="687">
        <f t="shared" si="33"/>
        <v>206</v>
      </c>
      <c r="D207" s="688">
        <v>100</v>
      </c>
      <c r="E207" s="688">
        <v>247</v>
      </c>
      <c r="F207" s="689"/>
      <c r="G207" s="689">
        <v>49.39</v>
      </c>
      <c r="H207" s="690">
        <v>1</v>
      </c>
      <c r="I207" s="691">
        <f t="shared" si="27"/>
        <v>0</v>
      </c>
      <c r="J207" s="692">
        <f t="shared" si="28"/>
        <v>0</v>
      </c>
      <c r="K207" s="692">
        <v>0</v>
      </c>
      <c r="L207" s="692">
        <f t="shared" si="29"/>
        <v>0</v>
      </c>
      <c r="M207" s="693">
        <v>3.81</v>
      </c>
      <c r="N207" s="693">
        <v>0</v>
      </c>
      <c r="O207" s="691">
        <f t="shared" si="34"/>
        <v>0</v>
      </c>
      <c r="P207" s="688" t="s">
        <v>1689</v>
      </c>
      <c r="Q207" s="694">
        <v>5000</v>
      </c>
      <c r="R207" s="688" t="s">
        <v>886</v>
      </c>
      <c r="S207" s="688" t="e">
        <f>+#REF!</f>
        <v>#REF!</v>
      </c>
      <c r="T207" s="688" t="s">
        <v>1689</v>
      </c>
      <c r="U207" s="694">
        <v>5000</v>
      </c>
      <c r="V207" s="688" t="s">
        <v>886</v>
      </c>
      <c r="W207" s="695">
        <v>34335</v>
      </c>
      <c r="X207" s="696" t="s">
        <v>1691</v>
      </c>
      <c r="Y207" s="688" t="s">
        <v>1696</v>
      </c>
      <c r="Z207" s="688" t="s">
        <v>1697</v>
      </c>
      <c r="AA207" s="688" t="s">
        <v>891</v>
      </c>
      <c r="AB207" s="688" t="s">
        <v>891</v>
      </c>
      <c r="AC207" s="688"/>
      <c r="AD207" s="688"/>
      <c r="AE207" s="689">
        <v>7582249.5700000003</v>
      </c>
      <c r="AF207" s="693">
        <v>6.36</v>
      </c>
      <c r="AG207" s="688" t="s">
        <v>891</v>
      </c>
      <c r="AH207" s="693">
        <v>6.36</v>
      </c>
      <c r="AI207" s="697" t="s">
        <v>1691</v>
      </c>
      <c r="AJ207" s="698" t="s">
        <v>1698</v>
      </c>
      <c r="AK207" s="699">
        <f t="shared" si="35"/>
        <v>49390</v>
      </c>
      <c r="AL207" s="685" t="s">
        <v>159</v>
      </c>
      <c r="AM207" s="699">
        <v>2500</v>
      </c>
      <c r="AN207" s="699">
        <v>1000</v>
      </c>
    </row>
    <row r="208" spans="1:40" x14ac:dyDescent="0.3">
      <c r="A208" s="669" t="s">
        <v>1699</v>
      </c>
      <c r="B208" s="686" t="e">
        <f t="shared" si="33"/>
        <v>#REF!</v>
      </c>
      <c r="C208" s="687">
        <f t="shared" si="33"/>
        <v>207</v>
      </c>
      <c r="D208" s="688">
        <v>100</v>
      </c>
      <c r="E208" s="688">
        <v>247</v>
      </c>
      <c r="F208" s="689"/>
      <c r="G208" s="689">
        <v>37.450000000000003</v>
      </c>
      <c r="H208" s="690">
        <v>1</v>
      </c>
      <c r="I208" s="691">
        <f t="shared" si="27"/>
        <v>0</v>
      </c>
      <c r="J208" s="692">
        <f t="shared" si="28"/>
        <v>0</v>
      </c>
      <c r="K208" s="692">
        <v>0</v>
      </c>
      <c r="L208" s="692">
        <f t="shared" si="29"/>
        <v>0</v>
      </c>
      <c r="M208" s="693">
        <v>3.81</v>
      </c>
      <c r="N208" s="693">
        <v>0</v>
      </c>
      <c r="O208" s="691">
        <f t="shared" si="34"/>
        <v>0</v>
      </c>
      <c r="P208" s="688" t="s">
        <v>1689</v>
      </c>
      <c r="Q208" s="694">
        <v>5000</v>
      </c>
      <c r="R208" s="688" t="s">
        <v>886</v>
      </c>
      <c r="S208" s="688" t="e">
        <f>+#REF!</f>
        <v>#REF!</v>
      </c>
      <c r="T208" s="688" t="s">
        <v>1690</v>
      </c>
      <c r="U208" s="694">
        <v>5000</v>
      </c>
      <c r="V208" s="688" t="s">
        <v>886</v>
      </c>
      <c r="W208" s="695">
        <v>34335</v>
      </c>
      <c r="X208" s="696" t="s">
        <v>1691</v>
      </c>
      <c r="Y208" s="688" t="s">
        <v>1700</v>
      </c>
      <c r="Z208" s="688" t="s">
        <v>1701</v>
      </c>
      <c r="AA208" s="688" t="s">
        <v>891</v>
      </c>
      <c r="AB208" s="688" t="s">
        <v>891</v>
      </c>
      <c r="AC208" s="688"/>
      <c r="AD208" s="688"/>
      <c r="AE208" s="689">
        <v>5749245.7300000004</v>
      </c>
      <c r="AF208" s="693">
        <v>4.82</v>
      </c>
      <c r="AG208" s="688" t="s">
        <v>891</v>
      </c>
      <c r="AH208" s="693">
        <v>4.82</v>
      </c>
      <c r="AI208" s="697" t="s">
        <v>1691</v>
      </c>
      <c r="AJ208" s="698" t="s">
        <v>1702</v>
      </c>
      <c r="AK208" s="699">
        <f t="shared" si="35"/>
        <v>37450</v>
      </c>
      <c r="AL208" s="685" t="s">
        <v>159</v>
      </c>
      <c r="AM208" s="699">
        <v>2500</v>
      </c>
      <c r="AN208" s="699">
        <v>1000</v>
      </c>
    </row>
    <row r="209" spans="1:40" x14ac:dyDescent="0.3">
      <c r="A209" s="669" t="s">
        <v>1703</v>
      </c>
      <c r="B209" s="686" t="e">
        <f t="shared" si="33"/>
        <v>#REF!</v>
      </c>
      <c r="C209" s="687">
        <f>+C208+1</f>
        <v>208</v>
      </c>
      <c r="D209" s="688">
        <v>100</v>
      </c>
      <c r="E209" s="688">
        <v>245</v>
      </c>
      <c r="F209" s="689"/>
      <c r="G209" s="689">
        <v>47.77</v>
      </c>
      <c r="H209" s="690">
        <v>1</v>
      </c>
      <c r="I209" s="691">
        <f t="shared" si="27"/>
        <v>0</v>
      </c>
      <c r="J209" s="692">
        <f t="shared" si="28"/>
        <v>0</v>
      </c>
      <c r="K209" s="692">
        <v>0</v>
      </c>
      <c r="L209" s="692">
        <f t="shared" si="29"/>
        <v>0</v>
      </c>
      <c r="M209" s="693">
        <v>3.81</v>
      </c>
      <c r="N209" s="693">
        <v>0</v>
      </c>
      <c r="O209" s="691">
        <f t="shared" si="34"/>
        <v>0</v>
      </c>
      <c r="P209" s="688" t="s">
        <v>1704</v>
      </c>
      <c r="Q209" s="694">
        <v>5252</v>
      </c>
      <c r="R209" s="688" t="s">
        <v>1705</v>
      </c>
      <c r="S209" s="688" t="e">
        <f>+#REF!</f>
        <v>#REF!</v>
      </c>
      <c r="T209" s="688" t="s">
        <v>1704</v>
      </c>
      <c r="U209" s="694">
        <v>5252</v>
      </c>
      <c r="V209" s="688" t="s">
        <v>1706</v>
      </c>
      <c r="W209" s="695">
        <v>34943</v>
      </c>
      <c r="X209" s="696" t="s">
        <v>1707</v>
      </c>
      <c r="Y209" s="688" t="s">
        <v>1708</v>
      </c>
      <c r="Z209" s="688" t="s">
        <v>1709</v>
      </c>
      <c r="AA209" s="688" t="s">
        <v>891</v>
      </c>
      <c r="AB209" s="688" t="s">
        <v>891</v>
      </c>
      <c r="AC209" s="688"/>
      <c r="AD209" s="688"/>
      <c r="AE209" s="689">
        <v>7274169.5800000001</v>
      </c>
      <c r="AF209" s="693">
        <v>0</v>
      </c>
      <c r="AG209" s="688" t="s">
        <v>891</v>
      </c>
      <c r="AH209" s="693">
        <v>0</v>
      </c>
      <c r="AI209" s="697" t="s">
        <v>1707</v>
      </c>
      <c r="AJ209" s="698" t="s">
        <v>1710</v>
      </c>
      <c r="AK209" s="699">
        <f t="shared" si="35"/>
        <v>47770</v>
      </c>
      <c r="AL209" s="685" t="s">
        <v>159</v>
      </c>
      <c r="AM209" s="699">
        <v>2500</v>
      </c>
      <c r="AN209" s="699">
        <v>1000</v>
      </c>
    </row>
    <row r="210" spans="1:40" x14ac:dyDescent="0.3">
      <c r="A210" s="669" t="s">
        <v>1711</v>
      </c>
      <c r="B210" s="686" t="e">
        <f>+#REF!+1</f>
        <v>#REF!</v>
      </c>
      <c r="C210" s="687">
        <v>209</v>
      </c>
      <c r="D210" s="688">
        <v>100</v>
      </c>
      <c r="E210" s="688">
        <v>246</v>
      </c>
      <c r="F210" s="689"/>
      <c r="G210" s="689">
        <v>34.83</v>
      </c>
      <c r="H210" s="690">
        <v>1.0569999999999999</v>
      </c>
      <c r="I210" s="691">
        <f t="shared" si="27"/>
        <v>0</v>
      </c>
      <c r="J210" s="692">
        <f t="shared" si="28"/>
        <v>0</v>
      </c>
      <c r="K210" s="692">
        <v>0</v>
      </c>
      <c r="L210" s="692">
        <f t="shared" si="29"/>
        <v>0</v>
      </c>
      <c r="M210" s="693">
        <v>1.91</v>
      </c>
      <c r="N210" s="693">
        <v>1.67</v>
      </c>
      <c r="O210" s="691">
        <f t="shared" si="34"/>
        <v>0</v>
      </c>
      <c r="P210" s="688" t="s">
        <v>1712</v>
      </c>
      <c r="Q210" s="694">
        <v>5000</v>
      </c>
      <c r="R210" s="688" t="s">
        <v>886</v>
      </c>
      <c r="S210" s="688" t="e">
        <f>+#REF!</f>
        <v>#REF!</v>
      </c>
      <c r="T210" s="688" t="s">
        <v>1713</v>
      </c>
      <c r="U210" s="694">
        <v>5000</v>
      </c>
      <c r="V210" s="688" t="s">
        <v>886</v>
      </c>
      <c r="W210" s="695">
        <v>37334</v>
      </c>
      <c r="X210" s="696" t="s">
        <v>1043</v>
      </c>
      <c r="Y210" s="688" t="s">
        <v>1714</v>
      </c>
      <c r="Z210" s="688" t="s">
        <v>1715</v>
      </c>
      <c r="AA210" s="688" t="s">
        <v>891</v>
      </c>
      <c r="AB210" s="688" t="s">
        <v>891</v>
      </c>
      <c r="AC210" s="688"/>
      <c r="AD210" s="688"/>
      <c r="AE210" s="689">
        <v>5628927.6299999999</v>
      </c>
      <c r="AF210" s="693">
        <v>3.67</v>
      </c>
      <c r="AG210" s="688" t="s">
        <v>891</v>
      </c>
      <c r="AH210" s="693">
        <v>3.67</v>
      </c>
      <c r="AI210" s="697" t="s">
        <v>1043</v>
      </c>
      <c r="AJ210" s="698" t="s">
        <v>1716</v>
      </c>
      <c r="AK210" s="699">
        <f t="shared" si="35"/>
        <v>34830</v>
      </c>
      <c r="AL210" s="685" t="s">
        <v>159</v>
      </c>
      <c r="AM210" s="699">
        <v>2500</v>
      </c>
      <c r="AN210" s="699">
        <v>1000</v>
      </c>
    </row>
    <row r="211" spans="1:40" x14ac:dyDescent="0.3">
      <c r="A211" s="669" t="s">
        <v>1717</v>
      </c>
      <c r="B211" s="686" t="e">
        <f t="shared" ref="B211:C221" si="36">+B210+1</f>
        <v>#REF!</v>
      </c>
      <c r="C211" s="687">
        <f t="shared" si="36"/>
        <v>210</v>
      </c>
      <c r="D211" s="688">
        <v>100</v>
      </c>
      <c r="E211" s="688">
        <v>261</v>
      </c>
      <c r="F211" s="689"/>
      <c r="G211" s="689">
        <v>49.55</v>
      </c>
      <c r="H211" s="690">
        <v>1.006</v>
      </c>
      <c r="I211" s="691">
        <f t="shared" si="27"/>
        <v>0</v>
      </c>
      <c r="J211" s="692">
        <f t="shared" si="28"/>
        <v>0</v>
      </c>
      <c r="K211" s="692">
        <v>0</v>
      </c>
      <c r="L211" s="692">
        <f t="shared" si="29"/>
        <v>0</v>
      </c>
      <c r="M211" s="693">
        <v>3.81</v>
      </c>
      <c r="N211" s="693">
        <v>0</v>
      </c>
      <c r="O211" s="691">
        <f t="shared" si="34"/>
        <v>0</v>
      </c>
      <c r="P211" s="688" t="s">
        <v>1718</v>
      </c>
      <c r="Q211" s="694">
        <v>5000</v>
      </c>
      <c r="R211" s="688" t="s">
        <v>886</v>
      </c>
      <c r="S211" s="688" t="e">
        <f>+#REF!</f>
        <v>#REF!</v>
      </c>
      <c r="T211" s="688" t="s">
        <v>1718</v>
      </c>
      <c r="U211" s="694">
        <v>5000</v>
      </c>
      <c r="V211" s="688" t="s">
        <v>886</v>
      </c>
      <c r="W211" s="695">
        <v>34335</v>
      </c>
      <c r="X211" s="696" t="s">
        <v>1043</v>
      </c>
      <c r="Y211" s="688" t="s">
        <v>1719</v>
      </c>
      <c r="Z211" s="688" t="s">
        <v>1720</v>
      </c>
      <c r="AA211" s="688" t="s">
        <v>891</v>
      </c>
      <c r="AB211" s="688" t="s">
        <v>891</v>
      </c>
      <c r="AC211" s="688"/>
      <c r="AD211" s="688"/>
      <c r="AE211" s="689">
        <v>8086195.6100000003</v>
      </c>
      <c r="AF211" s="693">
        <v>5.24</v>
      </c>
      <c r="AG211" s="688" t="s">
        <v>891</v>
      </c>
      <c r="AH211" s="693">
        <v>5.24</v>
      </c>
      <c r="AI211" s="697" t="s">
        <v>1043</v>
      </c>
      <c r="AJ211" s="698" t="s">
        <v>1721</v>
      </c>
      <c r="AK211" s="699">
        <f t="shared" si="35"/>
        <v>49550</v>
      </c>
      <c r="AL211" s="685" t="s">
        <v>159</v>
      </c>
      <c r="AM211" s="699">
        <v>2500</v>
      </c>
      <c r="AN211" s="699">
        <v>1000</v>
      </c>
    </row>
    <row r="212" spans="1:40" x14ac:dyDescent="0.3">
      <c r="A212" s="669" t="s">
        <v>1722</v>
      </c>
      <c r="B212" s="686" t="e">
        <f t="shared" si="36"/>
        <v>#REF!</v>
      </c>
      <c r="C212" s="687">
        <f t="shared" si="36"/>
        <v>211</v>
      </c>
      <c r="D212" s="688">
        <v>100</v>
      </c>
      <c r="E212" s="688">
        <v>321</v>
      </c>
      <c r="F212" s="689"/>
      <c r="G212" s="689">
        <v>82.7</v>
      </c>
      <c r="H212" s="690">
        <v>0.95</v>
      </c>
      <c r="I212" s="691">
        <f t="shared" si="27"/>
        <v>0</v>
      </c>
      <c r="J212" s="692">
        <f t="shared" si="28"/>
        <v>0</v>
      </c>
      <c r="K212" s="692">
        <v>0</v>
      </c>
      <c r="L212" s="692">
        <f t="shared" si="29"/>
        <v>0</v>
      </c>
      <c r="M212" s="693">
        <v>1.91</v>
      </c>
      <c r="N212" s="693">
        <v>1.67</v>
      </c>
      <c r="O212" s="691">
        <f t="shared" si="34"/>
        <v>0</v>
      </c>
      <c r="P212" s="688" t="s">
        <v>1723</v>
      </c>
      <c r="Q212" s="694">
        <v>5261</v>
      </c>
      <c r="R212" s="688" t="s">
        <v>1724</v>
      </c>
      <c r="S212" s="688" t="e">
        <f>+#REF!</f>
        <v>#REF!</v>
      </c>
      <c r="T212" s="688" t="s">
        <v>1723</v>
      </c>
      <c r="U212" s="694">
        <v>5261</v>
      </c>
      <c r="V212" s="688" t="s">
        <v>1724</v>
      </c>
      <c r="W212" s="695">
        <v>34561</v>
      </c>
      <c r="X212" s="696" t="s">
        <v>1725</v>
      </c>
      <c r="Y212" s="688" t="s">
        <v>1726</v>
      </c>
      <c r="Z212" s="688" t="s">
        <v>1727</v>
      </c>
      <c r="AA212" s="688" t="s">
        <v>891</v>
      </c>
      <c r="AB212" s="688" t="s">
        <v>891</v>
      </c>
      <c r="AC212" s="688"/>
      <c r="AD212" s="688"/>
      <c r="AE212" s="689">
        <v>16396722.460000001</v>
      </c>
      <c r="AF212" s="693">
        <v>17.350000000000001</v>
      </c>
      <c r="AG212" s="688" t="s">
        <v>891</v>
      </c>
      <c r="AH212" s="693">
        <v>17.350000000000001</v>
      </c>
      <c r="AI212" s="697" t="s">
        <v>1725</v>
      </c>
      <c r="AJ212" s="698" t="s">
        <v>1728</v>
      </c>
      <c r="AK212" s="699">
        <f>G212*600</f>
        <v>49620</v>
      </c>
      <c r="AL212" s="685" t="s">
        <v>160</v>
      </c>
      <c r="AM212" s="699">
        <v>2500</v>
      </c>
      <c r="AN212" s="699">
        <v>1000</v>
      </c>
    </row>
    <row r="213" spans="1:40" x14ac:dyDescent="0.3">
      <c r="A213" s="669" t="s">
        <v>1729</v>
      </c>
      <c r="B213" s="686" t="e">
        <f t="shared" si="36"/>
        <v>#REF!</v>
      </c>
      <c r="C213" s="687">
        <f t="shared" si="36"/>
        <v>212</v>
      </c>
      <c r="D213" s="688">
        <v>100</v>
      </c>
      <c r="E213" s="688">
        <v>321</v>
      </c>
      <c r="F213" s="689"/>
      <c r="G213" s="689">
        <v>76.59</v>
      </c>
      <c r="H213" s="690">
        <v>0.96599999999999997</v>
      </c>
      <c r="I213" s="691">
        <f t="shared" si="27"/>
        <v>0</v>
      </c>
      <c r="J213" s="692">
        <f t="shared" si="28"/>
        <v>0</v>
      </c>
      <c r="K213" s="692">
        <v>0</v>
      </c>
      <c r="L213" s="692">
        <f t="shared" si="29"/>
        <v>0</v>
      </c>
      <c r="M213" s="693">
        <v>1.3943700000000001</v>
      </c>
      <c r="N213" s="693">
        <v>1.21916</v>
      </c>
      <c r="O213" s="691">
        <f t="shared" si="34"/>
        <v>0</v>
      </c>
      <c r="P213" s="688" t="s">
        <v>1723</v>
      </c>
      <c r="Q213" s="694">
        <v>5261</v>
      </c>
      <c r="R213" s="688" t="s">
        <v>1724</v>
      </c>
      <c r="S213" s="688" t="e">
        <f>+#REF!</f>
        <v>#REF!</v>
      </c>
      <c r="T213" s="688" t="s">
        <v>1723</v>
      </c>
      <c r="U213" s="694">
        <v>5261</v>
      </c>
      <c r="V213" s="688" t="s">
        <v>1724</v>
      </c>
      <c r="W213" s="695">
        <v>35886</v>
      </c>
      <c r="X213" s="696" t="s">
        <v>1725</v>
      </c>
      <c r="Y213" s="688" t="s">
        <v>1730</v>
      </c>
      <c r="Z213" s="688" t="s">
        <v>1731</v>
      </c>
      <c r="AA213" s="688" t="s">
        <v>891</v>
      </c>
      <c r="AB213" s="688" t="s">
        <v>891</v>
      </c>
      <c r="AC213" s="688"/>
      <c r="AD213" s="688"/>
      <c r="AE213" s="689">
        <v>14761018.49</v>
      </c>
      <c r="AF213" s="693">
        <v>15.62</v>
      </c>
      <c r="AG213" s="688" t="s">
        <v>891</v>
      </c>
      <c r="AH213" s="693">
        <v>15.62</v>
      </c>
      <c r="AI213" s="697" t="s">
        <v>1725</v>
      </c>
      <c r="AJ213" s="698" t="s">
        <v>1732</v>
      </c>
      <c r="AK213" s="699">
        <f>G213*600</f>
        <v>45954</v>
      </c>
      <c r="AL213" s="685" t="s">
        <v>160</v>
      </c>
      <c r="AM213" s="699">
        <v>2500</v>
      </c>
      <c r="AN213" s="699">
        <v>1000</v>
      </c>
    </row>
    <row r="214" spans="1:40" x14ac:dyDescent="0.3">
      <c r="A214" s="669" t="s">
        <v>1733</v>
      </c>
      <c r="B214" s="686" t="e">
        <f t="shared" si="36"/>
        <v>#REF!</v>
      </c>
      <c r="C214" s="687">
        <f t="shared" si="36"/>
        <v>213</v>
      </c>
      <c r="D214" s="688">
        <v>100</v>
      </c>
      <c r="E214" s="688">
        <v>309</v>
      </c>
      <c r="F214" s="689"/>
      <c r="G214" s="689">
        <v>43.32</v>
      </c>
      <c r="H214" s="690">
        <v>1.0569999999999999</v>
      </c>
      <c r="I214" s="691">
        <f t="shared" si="27"/>
        <v>0</v>
      </c>
      <c r="J214" s="692">
        <f t="shared" si="28"/>
        <v>0</v>
      </c>
      <c r="K214" s="692">
        <v>0</v>
      </c>
      <c r="L214" s="692">
        <f t="shared" si="29"/>
        <v>0</v>
      </c>
      <c r="M214" s="693">
        <v>6.35</v>
      </c>
      <c r="N214" s="693">
        <v>0</v>
      </c>
      <c r="O214" s="691">
        <f t="shared" si="34"/>
        <v>0</v>
      </c>
      <c r="P214" s="688" t="s">
        <v>1723</v>
      </c>
      <c r="Q214" s="694">
        <v>5261</v>
      </c>
      <c r="R214" s="688" t="s">
        <v>1724</v>
      </c>
      <c r="S214" s="688" t="e">
        <f>+#REF!</f>
        <v>#REF!</v>
      </c>
      <c r="T214" s="688" t="s">
        <v>1723</v>
      </c>
      <c r="U214" s="694">
        <v>5261</v>
      </c>
      <c r="V214" s="688" t="s">
        <v>1724</v>
      </c>
      <c r="W214" s="695">
        <v>36504</v>
      </c>
      <c r="X214" s="696" t="s">
        <v>1725</v>
      </c>
      <c r="Y214" s="688" t="s">
        <v>1734</v>
      </c>
      <c r="Z214" s="688" t="s">
        <v>1735</v>
      </c>
      <c r="AA214" s="688" t="s">
        <v>891</v>
      </c>
      <c r="AB214" s="688" t="s">
        <v>891</v>
      </c>
      <c r="AC214" s="688"/>
      <c r="AD214" s="688" t="s">
        <v>1736</v>
      </c>
      <c r="AE214" s="689">
        <v>8793950.3800000008</v>
      </c>
      <c r="AF214" s="693">
        <v>9.26</v>
      </c>
      <c r="AG214" s="688" t="s">
        <v>891</v>
      </c>
      <c r="AH214" s="693">
        <v>9.26</v>
      </c>
      <c r="AI214" s="697" t="s">
        <v>1725</v>
      </c>
      <c r="AJ214" s="698" t="s">
        <v>1737</v>
      </c>
      <c r="AK214" s="699">
        <f>G214*600</f>
        <v>25992</v>
      </c>
      <c r="AL214" s="685" t="s">
        <v>160</v>
      </c>
      <c r="AM214" s="699">
        <v>2500</v>
      </c>
      <c r="AN214" s="699">
        <v>1000</v>
      </c>
    </row>
    <row r="215" spans="1:40" x14ac:dyDescent="0.3">
      <c r="A215" s="669" t="s">
        <v>1738</v>
      </c>
      <c r="B215" s="686" t="e">
        <f t="shared" si="36"/>
        <v>#REF!</v>
      </c>
      <c r="C215" s="687">
        <f t="shared" si="36"/>
        <v>214</v>
      </c>
      <c r="D215" s="688">
        <v>100</v>
      </c>
      <c r="E215" s="688">
        <v>311</v>
      </c>
      <c r="F215" s="689"/>
      <c r="G215" s="689">
        <v>76.98</v>
      </c>
      <c r="H215" s="690">
        <v>0.96599999999999997</v>
      </c>
      <c r="I215" s="691">
        <f t="shared" si="27"/>
        <v>0</v>
      </c>
      <c r="J215" s="692">
        <f t="shared" si="28"/>
        <v>0</v>
      </c>
      <c r="K215" s="692">
        <v>0</v>
      </c>
      <c r="L215" s="692">
        <f t="shared" si="29"/>
        <v>0</v>
      </c>
      <c r="M215" s="693">
        <v>3.81</v>
      </c>
      <c r="N215" s="693">
        <v>0</v>
      </c>
      <c r="O215" s="691">
        <f t="shared" si="34"/>
        <v>0</v>
      </c>
      <c r="P215" s="688" t="s">
        <v>1723</v>
      </c>
      <c r="Q215" s="694">
        <v>5261</v>
      </c>
      <c r="R215" s="688" t="s">
        <v>1724</v>
      </c>
      <c r="S215" s="688" t="e">
        <f>+#REF!</f>
        <v>#REF!</v>
      </c>
      <c r="T215" s="688" t="s">
        <v>1723</v>
      </c>
      <c r="U215" s="694">
        <v>5261</v>
      </c>
      <c r="V215" s="688" t="s">
        <v>1724</v>
      </c>
      <c r="W215" s="695">
        <v>34974</v>
      </c>
      <c r="X215" s="696" t="s">
        <v>1725</v>
      </c>
      <c r="Y215" s="688" t="s">
        <v>1739</v>
      </c>
      <c r="Z215" s="688" t="s">
        <v>1740</v>
      </c>
      <c r="AA215" s="688" t="s">
        <v>891</v>
      </c>
      <c r="AB215" s="688" t="s">
        <v>891</v>
      </c>
      <c r="AC215" s="688"/>
      <c r="AD215" s="688"/>
      <c r="AE215" s="689">
        <v>14373995.949999999</v>
      </c>
      <c r="AF215" s="693">
        <v>15.14</v>
      </c>
      <c r="AG215" s="688" t="s">
        <v>891</v>
      </c>
      <c r="AH215" s="693">
        <v>15.14</v>
      </c>
      <c r="AI215" s="697" t="s">
        <v>1725</v>
      </c>
      <c r="AJ215" s="698" t="s">
        <v>1741</v>
      </c>
      <c r="AK215" s="699">
        <f>G215*600</f>
        <v>46188</v>
      </c>
      <c r="AL215" s="685" t="s">
        <v>160</v>
      </c>
      <c r="AM215" s="699">
        <v>2500</v>
      </c>
      <c r="AN215" s="699">
        <v>1000</v>
      </c>
    </row>
    <row r="216" spans="1:40" x14ac:dyDescent="0.3">
      <c r="A216" s="669" t="s">
        <v>1742</v>
      </c>
      <c r="B216" s="686" t="e">
        <f t="shared" si="36"/>
        <v>#REF!</v>
      </c>
      <c r="C216" s="687">
        <f t="shared" si="36"/>
        <v>215</v>
      </c>
      <c r="D216" s="688">
        <v>100</v>
      </c>
      <c r="E216" s="688">
        <v>309</v>
      </c>
      <c r="F216" s="689"/>
      <c r="G216" s="689">
        <v>41.3</v>
      </c>
      <c r="H216" s="690">
        <v>1.0569999999999999</v>
      </c>
      <c r="I216" s="691">
        <f t="shared" si="27"/>
        <v>0</v>
      </c>
      <c r="J216" s="692">
        <f t="shared" si="28"/>
        <v>0</v>
      </c>
      <c r="K216" s="692">
        <v>0</v>
      </c>
      <c r="L216" s="692">
        <f t="shared" si="29"/>
        <v>0</v>
      </c>
      <c r="M216" s="693">
        <v>3.81</v>
      </c>
      <c r="N216" s="693">
        <v>0</v>
      </c>
      <c r="O216" s="691">
        <f t="shared" si="34"/>
        <v>0</v>
      </c>
      <c r="P216" s="688" t="s">
        <v>1723</v>
      </c>
      <c r="Q216" s="694">
        <v>5261</v>
      </c>
      <c r="R216" s="688" t="s">
        <v>1724</v>
      </c>
      <c r="S216" s="688" t="e">
        <f>+#REF!</f>
        <v>#REF!</v>
      </c>
      <c r="T216" s="688" t="s">
        <v>1723</v>
      </c>
      <c r="U216" s="694">
        <v>5261</v>
      </c>
      <c r="V216" s="688" t="s">
        <v>1724</v>
      </c>
      <c r="W216" s="695">
        <v>35031</v>
      </c>
      <c r="X216" s="696" t="s">
        <v>1725</v>
      </c>
      <c r="Y216" s="688" t="s">
        <v>1743</v>
      </c>
      <c r="Z216" s="688" t="s">
        <v>1744</v>
      </c>
      <c r="AA216" s="688" t="s">
        <v>891</v>
      </c>
      <c r="AB216" s="688" t="s">
        <v>891</v>
      </c>
      <c r="AC216" s="688"/>
      <c r="AD216" s="688"/>
      <c r="AE216" s="689">
        <v>8785830.3900000006</v>
      </c>
      <c r="AF216" s="693">
        <v>9.25</v>
      </c>
      <c r="AG216" s="688" t="s">
        <v>891</v>
      </c>
      <c r="AH216" s="693">
        <v>9.25</v>
      </c>
      <c r="AI216" s="697" t="s">
        <v>1725</v>
      </c>
      <c r="AJ216" s="698" t="s">
        <v>1745</v>
      </c>
      <c r="AK216" s="699">
        <f>G216*600</f>
        <v>24780</v>
      </c>
      <c r="AL216" s="685" t="s">
        <v>160</v>
      </c>
      <c r="AM216" s="699">
        <v>2500</v>
      </c>
      <c r="AN216" s="699">
        <v>1000</v>
      </c>
    </row>
    <row r="217" spans="1:40" x14ac:dyDescent="0.3">
      <c r="A217" s="669" t="s">
        <v>1746</v>
      </c>
      <c r="B217" s="686" t="e">
        <f t="shared" si="36"/>
        <v>#REF!</v>
      </c>
      <c r="C217" s="687">
        <f t="shared" si="36"/>
        <v>216</v>
      </c>
      <c r="D217" s="688">
        <v>100</v>
      </c>
      <c r="E217" s="688">
        <v>220</v>
      </c>
      <c r="F217" s="689"/>
      <c r="G217" s="689">
        <v>53.15</v>
      </c>
      <c r="H217" s="690">
        <v>1</v>
      </c>
      <c r="I217" s="691">
        <f t="shared" si="27"/>
        <v>0</v>
      </c>
      <c r="J217" s="692">
        <f t="shared" si="28"/>
        <v>0</v>
      </c>
      <c r="K217" s="692">
        <v>0</v>
      </c>
      <c r="L217" s="692">
        <f t="shared" si="29"/>
        <v>0</v>
      </c>
      <c r="M217" s="693">
        <v>3.81</v>
      </c>
      <c r="N217" s="693">
        <v>0</v>
      </c>
      <c r="O217" s="691">
        <f t="shared" si="34"/>
        <v>0</v>
      </c>
      <c r="P217" s="688" t="s">
        <v>1747</v>
      </c>
      <c r="Q217" s="694">
        <v>5261</v>
      </c>
      <c r="R217" s="688" t="s">
        <v>1724</v>
      </c>
      <c r="S217" s="688" t="e">
        <f>+#REF!</f>
        <v>#REF!</v>
      </c>
      <c r="T217" s="688" t="s">
        <v>1748</v>
      </c>
      <c r="U217" s="694">
        <v>5261</v>
      </c>
      <c r="V217" s="688" t="s">
        <v>1724</v>
      </c>
      <c r="W217" s="695">
        <v>35156</v>
      </c>
      <c r="X217" s="696" t="s">
        <v>1422</v>
      </c>
      <c r="Y217" s="688" t="s">
        <v>1749</v>
      </c>
      <c r="Z217" s="688" t="s">
        <v>1750</v>
      </c>
      <c r="AA217" s="688" t="s">
        <v>891</v>
      </c>
      <c r="AB217" s="688" t="s">
        <v>891</v>
      </c>
      <c r="AC217" s="688"/>
      <c r="AD217" s="688"/>
      <c r="AE217" s="689">
        <v>7267550.29</v>
      </c>
      <c r="AF217" s="693">
        <v>22.25</v>
      </c>
      <c r="AG217" s="688" t="s">
        <v>891</v>
      </c>
      <c r="AH217" s="693">
        <v>22.25</v>
      </c>
      <c r="AI217" s="697" t="s">
        <v>1422</v>
      </c>
      <c r="AJ217" s="698" t="s">
        <v>1751</v>
      </c>
      <c r="AK217" s="699">
        <f>G217*850</f>
        <v>45177.5</v>
      </c>
      <c r="AL217" s="685" t="s">
        <v>159</v>
      </c>
      <c r="AM217" s="699">
        <v>2500</v>
      </c>
      <c r="AN217" s="699">
        <v>1000</v>
      </c>
    </row>
    <row r="218" spans="1:40" x14ac:dyDescent="0.3">
      <c r="A218" s="669" t="s">
        <v>1752</v>
      </c>
      <c r="B218" s="686" t="e">
        <f t="shared" si="36"/>
        <v>#REF!</v>
      </c>
      <c r="C218" s="687">
        <f t="shared" si="36"/>
        <v>217</v>
      </c>
      <c r="D218" s="688">
        <v>100</v>
      </c>
      <c r="E218" s="688">
        <v>243</v>
      </c>
      <c r="F218" s="689"/>
      <c r="G218" s="689">
        <v>28.58</v>
      </c>
      <c r="H218" s="690">
        <v>1.024</v>
      </c>
      <c r="I218" s="691">
        <f t="shared" si="27"/>
        <v>0</v>
      </c>
      <c r="J218" s="692">
        <f t="shared" si="28"/>
        <v>0</v>
      </c>
      <c r="K218" s="692">
        <v>0</v>
      </c>
      <c r="L218" s="692">
        <f t="shared" si="29"/>
        <v>0</v>
      </c>
      <c r="M218" s="693">
        <v>5.08</v>
      </c>
      <c r="N218" s="693">
        <v>0</v>
      </c>
      <c r="O218" s="691">
        <f t="shared" si="34"/>
        <v>0</v>
      </c>
      <c r="P218" s="688" t="s">
        <v>1747</v>
      </c>
      <c r="Q218" s="694">
        <v>5261</v>
      </c>
      <c r="R218" s="688" t="s">
        <v>1724</v>
      </c>
      <c r="S218" s="688" t="e">
        <f>+#REF!</f>
        <v>#REF!</v>
      </c>
      <c r="T218" s="688" t="s">
        <v>1748</v>
      </c>
      <c r="U218" s="694">
        <v>5261</v>
      </c>
      <c r="V218" s="688" t="s">
        <v>1724</v>
      </c>
      <c r="W218" s="695">
        <v>35977</v>
      </c>
      <c r="X218" s="696" t="s">
        <v>1422</v>
      </c>
      <c r="Y218" s="688" t="s">
        <v>1753</v>
      </c>
      <c r="Z218" s="688" t="s">
        <v>1754</v>
      </c>
      <c r="AA218" s="688" t="s">
        <v>891</v>
      </c>
      <c r="AB218" s="688" t="s">
        <v>891</v>
      </c>
      <c r="AC218" s="688"/>
      <c r="AD218" s="688"/>
      <c r="AE218" s="689">
        <v>4420084.28</v>
      </c>
      <c r="AF218" s="693">
        <v>13.53</v>
      </c>
      <c r="AG218" s="688" t="s">
        <v>891</v>
      </c>
      <c r="AH218" s="693">
        <v>13.53</v>
      </c>
      <c r="AI218" s="697" t="s">
        <v>1422</v>
      </c>
      <c r="AJ218" s="698" t="s">
        <v>1755</v>
      </c>
      <c r="AK218" s="699">
        <f>G218*850</f>
        <v>24293</v>
      </c>
      <c r="AL218" s="685" t="s">
        <v>159</v>
      </c>
      <c r="AM218" s="699">
        <v>2500</v>
      </c>
      <c r="AN218" s="699">
        <v>1000</v>
      </c>
    </row>
    <row r="219" spans="1:40" x14ac:dyDescent="0.3">
      <c r="A219" s="669" t="s">
        <v>1756</v>
      </c>
      <c r="B219" s="686" t="e">
        <f t="shared" si="36"/>
        <v>#REF!</v>
      </c>
      <c r="C219" s="687">
        <f t="shared" si="36"/>
        <v>218</v>
      </c>
      <c r="D219" s="688">
        <v>100</v>
      </c>
      <c r="E219" s="688">
        <v>243</v>
      </c>
      <c r="F219" s="689"/>
      <c r="G219" s="689">
        <v>46.1</v>
      </c>
      <c r="H219" s="690">
        <v>1.024</v>
      </c>
      <c r="I219" s="691">
        <f t="shared" si="27"/>
        <v>0</v>
      </c>
      <c r="J219" s="692">
        <f t="shared" si="28"/>
        <v>0</v>
      </c>
      <c r="K219" s="692">
        <v>0</v>
      </c>
      <c r="L219" s="692">
        <f t="shared" si="29"/>
        <v>0</v>
      </c>
      <c r="M219" s="693">
        <v>5.08</v>
      </c>
      <c r="N219" s="693">
        <v>0</v>
      </c>
      <c r="O219" s="691">
        <f t="shared" si="34"/>
        <v>0</v>
      </c>
      <c r="P219" s="688" t="s">
        <v>1747</v>
      </c>
      <c r="Q219" s="694">
        <v>5261</v>
      </c>
      <c r="R219" s="688" t="s">
        <v>1757</v>
      </c>
      <c r="S219" s="688" t="e">
        <f>+#REF!</f>
        <v>#REF!</v>
      </c>
      <c r="T219" s="688" t="s">
        <v>1747</v>
      </c>
      <c r="U219" s="694">
        <v>5261</v>
      </c>
      <c r="V219" s="688" t="s">
        <v>1757</v>
      </c>
      <c r="W219" s="695">
        <v>37522</v>
      </c>
      <c r="X219" s="696" t="s">
        <v>1422</v>
      </c>
      <c r="Y219" s="688" t="s">
        <v>1758</v>
      </c>
      <c r="Z219" s="688" t="s">
        <v>1759</v>
      </c>
      <c r="AA219" s="688" t="s">
        <v>891</v>
      </c>
      <c r="AB219" s="688" t="s">
        <v>891</v>
      </c>
      <c r="AC219" s="688"/>
      <c r="AD219" s="688"/>
      <c r="AE219" s="689">
        <v>7129667.0899999999</v>
      </c>
      <c r="AF219" s="693">
        <v>21.83</v>
      </c>
      <c r="AG219" s="688" t="s">
        <v>891</v>
      </c>
      <c r="AH219" s="693">
        <v>21.83</v>
      </c>
      <c r="AI219" s="697" t="s">
        <v>1422</v>
      </c>
      <c r="AJ219" s="698" t="s">
        <v>1760</v>
      </c>
      <c r="AK219" s="699">
        <f>G219*850</f>
        <v>39185</v>
      </c>
      <c r="AL219" s="685" t="s">
        <v>159</v>
      </c>
      <c r="AM219" s="699">
        <v>2500</v>
      </c>
      <c r="AN219" s="699">
        <v>1000</v>
      </c>
    </row>
    <row r="220" spans="1:40" x14ac:dyDescent="0.3">
      <c r="A220" s="669" t="s">
        <v>1761</v>
      </c>
      <c r="B220" s="686" t="e">
        <f t="shared" si="36"/>
        <v>#REF!</v>
      </c>
      <c r="C220" s="687">
        <f t="shared" si="36"/>
        <v>219</v>
      </c>
      <c r="D220" s="688">
        <v>100</v>
      </c>
      <c r="E220" s="688">
        <v>220</v>
      </c>
      <c r="F220" s="689"/>
      <c r="G220" s="689">
        <v>16.38</v>
      </c>
      <c r="H220" s="690">
        <v>1.024</v>
      </c>
      <c r="I220" s="691">
        <f t="shared" si="27"/>
        <v>0</v>
      </c>
      <c r="J220" s="692">
        <f t="shared" si="28"/>
        <v>0</v>
      </c>
      <c r="K220" s="692">
        <v>0</v>
      </c>
      <c r="L220" s="692">
        <f t="shared" si="29"/>
        <v>0</v>
      </c>
      <c r="M220" s="693">
        <v>5.08</v>
      </c>
      <c r="N220" s="693">
        <v>0</v>
      </c>
      <c r="O220" s="691">
        <f t="shared" si="34"/>
        <v>0</v>
      </c>
      <c r="P220" s="688" t="s">
        <v>1747</v>
      </c>
      <c r="Q220" s="694">
        <v>5261</v>
      </c>
      <c r="R220" s="688" t="s">
        <v>1724</v>
      </c>
      <c r="S220" s="688" t="e">
        <f>+#REF!</f>
        <v>#REF!</v>
      </c>
      <c r="T220" s="688" t="s">
        <v>1748</v>
      </c>
      <c r="U220" s="694">
        <v>5261</v>
      </c>
      <c r="V220" s="688" t="s">
        <v>1724</v>
      </c>
      <c r="W220" s="695">
        <v>35947</v>
      </c>
      <c r="X220" s="696" t="s">
        <v>1422</v>
      </c>
      <c r="Y220" s="688" t="s">
        <v>1762</v>
      </c>
      <c r="Z220" s="688" t="s">
        <v>1763</v>
      </c>
      <c r="AA220" s="688" t="s">
        <v>891</v>
      </c>
      <c r="AB220" s="688" t="s">
        <v>891</v>
      </c>
      <c r="AC220" s="688"/>
      <c r="AD220" s="688"/>
      <c r="AE220" s="689">
        <v>2293499.4</v>
      </c>
      <c r="AF220" s="693">
        <v>7.02</v>
      </c>
      <c r="AG220" s="688" t="s">
        <v>891</v>
      </c>
      <c r="AH220" s="693">
        <v>7.02</v>
      </c>
      <c r="AI220" s="697" t="s">
        <v>1422</v>
      </c>
      <c r="AJ220" s="698" t="s">
        <v>1764</v>
      </c>
      <c r="AK220" s="699">
        <f>G220*850</f>
        <v>13923</v>
      </c>
      <c r="AL220" s="685" t="s">
        <v>159</v>
      </c>
      <c r="AM220" s="699">
        <v>2500</v>
      </c>
      <c r="AN220" s="699">
        <v>1000</v>
      </c>
    </row>
    <row r="221" spans="1:40" x14ac:dyDescent="0.3">
      <c r="A221" s="669" t="s">
        <v>1765</v>
      </c>
      <c r="B221" s="686" t="e">
        <f t="shared" si="36"/>
        <v>#REF!</v>
      </c>
      <c r="C221" s="687">
        <f t="shared" si="36"/>
        <v>220</v>
      </c>
      <c r="D221" s="688">
        <v>100</v>
      </c>
      <c r="E221" s="688">
        <v>243</v>
      </c>
      <c r="F221" s="689"/>
      <c r="G221" s="689">
        <v>78.37</v>
      </c>
      <c r="H221" s="690">
        <v>1.024</v>
      </c>
      <c r="I221" s="691">
        <f t="shared" si="27"/>
        <v>0</v>
      </c>
      <c r="J221" s="692">
        <f t="shared" si="28"/>
        <v>0</v>
      </c>
      <c r="K221" s="692">
        <v>0</v>
      </c>
      <c r="L221" s="692">
        <f t="shared" si="29"/>
        <v>0</v>
      </c>
      <c r="M221" s="693">
        <v>5.08</v>
      </c>
      <c r="N221" s="693">
        <v>0</v>
      </c>
      <c r="O221" s="691">
        <f t="shared" si="34"/>
        <v>0</v>
      </c>
      <c r="P221" s="688" t="s">
        <v>1747</v>
      </c>
      <c r="Q221" s="694">
        <v>5261</v>
      </c>
      <c r="R221" s="688" t="s">
        <v>1724</v>
      </c>
      <c r="S221" s="688" t="e">
        <f>+#REF!</f>
        <v>#REF!</v>
      </c>
      <c r="T221" s="688" t="s">
        <v>1748</v>
      </c>
      <c r="U221" s="694">
        <v>5261</v>
      </c>
      <c r="V221" s="688" t="s">
        <v>1724</v>
      </c>
      <c r="W221" s="695">
        <v>35947</v>
      </c>
      <c r="X221" s="696" t="s">
        <v>1422</v>
      </c>
      <c r="Y221" s="688" t="s">
        <v>1766</v>
      </c>
      <c r="Z221" s="688" t="s">
        <v>1767</v>
      </c>
      <c r="AA221" s="688" t="s">
        <v>891</v>
      </c>
      <c r="AB221" s="688" t="s">
        <v>891</v>
      </c>
      <c r="AC221" s="688"/>
      <c r="AD221" s="688"/>
      <c r="AE221" s="689">
        <v>4420084.28</v>
      </c>
      <c r="AF221" s="693">
        <v>13.53</v>
      </c>
      <c r="AG221" s="688" t="s">
        <v>891</v>
      </c>
      <c r="AH221" s="693">
        <v>13.53</v>
      </c>
      <c r="AI221" s="697" t="s">
        <v>1422</v>
      </c>
      <c r="AJ221" s="698" t="s">
        <v>1768</v>
      </c>
      <c r="AK221" s="699">
        <f>G221*850</f>
        <v>66614.5</v>
      </c>
      <c r="AL221" s="685" t="s">
        <v>159</v>
      </c>
      <c r="AM221" s="699">
        <v>2500</v>
      </c>
      <c r="AN221" s="699">
        <v>1000</v>
      </c>
    </row>
    <row r="222" spans="1:40" x14ac:dyDescent="0.3">
      <c r="B222" s="686"/>
      <c r="C222" s="687">
        <v>221</v>
      </c>
      <c r="D222" s="688"/>
      <c r="E222" s="688"/>
      <c r="F222" s="689"/>
      <c r="G222" s="689">
        <v>66.91</v>
      </c>
      <c r="H222" s="690"/>
      <c r="I222" s="691"/>
      <c r="J222" s="692"/>
      <c r="K222" s="692"/>
      <c r="L222" s="692"/>
      <c r="M222" s="693"/>
      <c r="N222" s="693"/>
      <c r="O222" s="691"/>
      <c r="P222" s="688" t="s">
        <v>1769</v>
      </c>
      <c r="Q222" s="694"/>
      <c r="R222" s="688"/>
      <c r="S222" s="688" t="e">
        <f>+#REF!</f>
        <v>#REF!</v>
      </c>
      <c r="T222" s="688"/>
      <c r="U222" s="694"/>
      <c r="V222" s="688"/>
      <c r="W222" s="695"/>
      <c r="X222" s="696"/>
      <c r="Y222" s="688"/>
      <c r="Z222" s="688"/>
      <c r="AA222" s="688"/>
      <c r="AB222" s="688"/>
      <c r="AC222" s="688"/>
      <c r="AD222" s="688"/>
      <c r="AE222" s="689"/>
      <c r="AF222" s="693"/>
      <c r="AG222" s="688"/>
      <c r="AH222" s="693"/>
      <c r="AI222" s="697">
        <v>2012</v>
      </c>
      <c r="AJ222" s="698" t="s">
        <v>1770</v>
      </c>
      <c r="AK222" s="699">
        <f>G222*1100</f>
        <v>73601</v>
      </c>
      <c r="AL222" s="685" t="s">
        <v>159</v>
      </c>
      <c r="AM222" s="699">
        <v>2500</v>
      </c>
      <c r="AN222" s="699">
        <v>1000</v>
      </c>
    </row>
    <row r="223" spans="1:40" x14ac:dyDescent="0.3">
      <c r="B223" s="686"/>
      <c r="C223" s="687">
        <v>222</v>
      </c>
      <c r="D223" s="688"/>
      <c r="E223" s="688"/>
      <c r="F223" s="689"/>
      <c r="G223" s="689">
        <v>59.15</v>
      </c>
      <c r="H223" s="690"/>
      <c r="I223" s="691"/>
      <c r="J223" s="692"/>
      <c r="K223" s="692"/>
      <c r="L223" s="692"/>
      <c r="M223" s="693"/>
      <c r="N223" s="693"/>
      <c r="O223" s="691"/>
      <c r="P223" s="688" t="s">
        <v>1769</v>
      </c>
      <c r="Q223" s="694"/>
      <c r="R223" s="688"/>
      <c r="S223" s="688"/>
      <c r="T223" s="688"/>
      <c r="U223" s="694"/>
      <c r="V223" s="688"/>
      <c r="W223" s="695"/>
      <c r="X223" s="696"/>
      <c r="Y223" s="688"/>
      <c r="Z223" s="688"/>
      <c r="AA223" s="688"/>
      <c r="AB223" s="688"/>
      <c r="AC223" s="688"/>
      <c r="AD223" s="688"/>
      <c r="AE223" s="689"/>
      <c r="AF223" s="693"/>
      <c r="AG223" s="688"/>
      <c r="AH223" s="693"/>
      <c r="AI223" s="697">
        <v>2012</v>
      </c>
      <c r="AJ223" s="698" t="s">
        <v>1771</v>
      </c>
      <c r="AK223" s="699">
        <f t="shared" ref="AK223:AK242" si="37">G223*1100</f>
        <v>65065</v>
      </c>
      <c r="AL223" s="685" t="s">
        <v>159</v>
      </c>
      <c r="AM223" s="699">
        <v>2500</v>
      </c>
      <c r="AN223" s="699">
        <v>1000</v>
      </c>
    </row>
    <row r="224" spans="1:40" x14ac:dyDescent="0.3">
      <c r="B224" s="686"/>
      <c r="C224" s="687">
        <v>223</v>
      </c>
      <c r="D224" s="688"/>
      <c r="E224" s="688"/>
      <c r="F224" s="689"/>
      <c r="G224" s="689">
        <v>62.29</v>
      </c>
      <c r="H224" s="690"/>
      <c r="I224" s="691"/>
      <c r="J224" s="692"/>
      <c r="K224" s="692"/>
      <c r="L224" s="692"/>
      <c r="M224" s="693"/>
      <c r="N224" s="693"/>
      <c r="O224" s="691"/>
      <c r="P224" s="688" t="s">
        <v>1772</v>
      </c>
      <c r="Q224" s="694"/>
      <c r="R224" s="688"/>
      <c r="S224" s="688" t="e">
        <f>+#REF!</f>
        <v>#REF!</v>
      </c>
      <c r="T224" s="688"/>
      <c r="U224" s="694"/>
      <c r="V224" s="688"/>
      <c r="W224" s="695"/>
      <c r="X224" s="696"/>
      <c r="Y224" s="688"/>
      <c r="Z224" s="688"/>
      <c r="AA224" s="688"/>
      <c r="AB224" s="688"/>
      <c r="AC224" s="688"/>
      <c r="AD224" s="688"/>
      <c r="AE224" s="689"/>
      <c r="AF224" s="693"/>
      <c r="AG224" s="688"/>
      <c r="AH224" s="693"/>
      <c r="AI224" s="697">
        <v>2005</v>
      </c>
      <c r="AJ224" s="698" t="s">
        <v>1773</v>
      </c>
      <c r="AK224" s="699">
        <f t="shared" si="37"/>
        <v>68519</v>
      </c>
      <c r="AL224" s="685" t="s">
        <v>159</v>
      </c>
      <c r="AM224" s="699">
        <v>2500</v>
      </c>
      <c r="AN224" s="699">
        <v>1000</v>
      </c>
    </row>
    <row r="225" spans="2:40" x14ac:dyDescent="0.3">
      <c r="B225" s="686"/>
      <c r="C225" s="687">
        <v>224</v>
      </c>
      <c r="D225" s="688"/>
      <c r="E225" s="688"/>
      <c r="F225" s="689"/>
      <c r="G225" s="689">
        <v>54.19</v>
      </c>
      <c r="H225" s="690"/>
      <c r="I225" s="691"/>
      <c r="J225" s="692"/>
      <c r="K225" s="692"/>
      <c r="L225" s="692"/>
      <c r="M225" s="693"/>
      <c r="N225" s="693"/>
      <c r="O225" s="691"/>
      <c r="P225" s="688" t="s">
        <v>1772</v>
      </c>
      <c r="Q225" s="694"/>
      <c r="R225" s="688"/>
      <c r="S225" s="688" t="e">
        <f>+#REF!</f>
        <v>#REF!</v>
      </c>
      <c r="T225" s="688"/>
      <c r="U225" s="694"/>
      <c r="V225" s="688"/>
      <c r="W225" s="695"/>
      <c r="X225" s="696"/>
      <c r="Y225" s="688"/>
      <c r="Z225" s="688"/>
      <c r="AA225" s="688"/>
      <c r="AB225" s="688"/>
      <c r="AC225" s="688"/>
      <c r="AD225" s="688"/>
      <c r="AE225" s="689"/>
      <c r="AF225" s="693"/>
      <c r="AG225" s="688"/>
      <c r="AH225" s="693"/>
      <c r="AI225" s="697">
        <v>2005</v>
      </c>
      <c r="AJ225" s="698" t="s">
        <v>1774</v>
      </c>
      <c r="AK225" s="699">
        <f t="shared" si="37"/>
        <v>59609</v>
      </c>
      <c r="AL225" s="685" t="s">
        <v>159</v>
      </c>
      <c r="AM225" s="699">
        <v>2500</v>
      </c>
      <c r="AN225" s="699">
        <v>1000</v>
      </c>
    </row>
    <row r="226" spans="2:40" x14ac:dyDescent="0.3">
      <c r="B226" s="686"/>
      <c r="C226" s="687">
        <v>225</v>
      </c>
      <c r="D226" s="688"/>
      <c r="E226" s="688"/>
      <c r="F226" s="689"/>
      <c r="G226" s="689">
        <v>61.45</v>
      </c>
      <c r="H226" s="690"/>
      <c r="I226" s="691"/>
      <c r="J226" s="692"/>
      <c r="K226" s="692"/>
      <c r="L226" s="692"/>
      <c r="M226" s="693"/>
      <c r="N226" s="693"/>
      <c r="O226" s="691"/>
      <c r="P226" s="688" t="s">
        <v>1772</v>
      </c>
      <c r="Q226" s="694"/>
      <c r="R226" s="688"/>
      <c r="S226" s="688" t="e">
        <f>+#REF!</f>
        <v>#REF!</v>
      </c>
      <c r="T226" s="688"/>
      <c r="U226" s="694"/>
      <c r="V226" s="688"/>
      <c r="W226" s="695"/>
      <c r="X226" s="696"/>
      <c r="Y226" s="688"/>
      <c r="Z226" s="688"/>
      <c r="AA226" s="688"/>
      <c r="AB226" s="688"/>
      <c r="AC226" s="688"/>
      <c r="AD226" s="688"/>
      <c r="AE226" s="689"/>
      <c r="AF226" s="693"/>
      <c r="AG226" s="688"/>
      <c r="AH226" s="693"/>
      <c r="AI226" s="697">
        <v>2005</v>
      </c>
      <c r="AJ226" s="698" t="s">
        <v>1775</v>
      </c>
      <c r="AK226" s="699">
        <f t="shared" si="37"/>
        <v>67595</v>
      </c>
      <c r="AL226" s="685" t="s">
        <v>159</v>
      </c>
      <c r="AM226" s="699">
        <v>2500</v>
      </c>
      <c r="AN226" s="699">
        <v>1000</v>
      </c>
    </row>
    <row r="227" spans="2:40" x14ac:dyDescent="0.3">
      <c r="B227" s="686"/>
      <c r="C227" s="687">
        <v>226</v>
      </c>
      <c r="D227" s="688"/>
      <c r="E227" s="688"/>
      <c r="F227" s="689"/>
      <c r="G227" s="689">
        <v>65.62</v>
      </c>
      <c r="H227" s="690"/>
      <c r="I227" s="691"/>
      <c r="J227" s="692"/>
      <c r="K227" s="692"/>
      <c r="L227" s="692"/>
      <c r="M227" s="693"/>
      <c r="N227" s="693"/>
      <c r="O227" s="691"/>
      <c r="P227" s="688" t="s">
        <v>1772</v>
      </c>
      <c r="Q227" s="694"/>
      <c r="R227" s="688"/>
      <c r="S227" s="688" t="e">
        <f>+#REF!</f>
        <v>#REF!</v>
      </c>
      <c r="T227" s="688"/>
      <c r="U227" s="694"/>
      <c r="V227" s="688"/>
      <c r="W227" s="695"/>
      <c r="X227" s="696"/>
      <c r="Y227" s="688"/>
      <c r="Z227" s="688"/>
      <c r="AA227" s="688"/>
      <c r="AB227" s="688"/>
      <c r="AC227" s="688"/>
      <c r="AD227" s="688"/>
      <c r="AE227" s="689"/>
      <c r="AF227" s="693"/>
      <c r="AG227" s="688"/>
      <c r="AH227" s="693"/>
      <c r="AI227" s="697">
        <v>2005</v>
      </c>
      <c r="AJ227" s="698" t="s">
        <v>1776</v>
      </c>
      <c r="AK227" s="699">
        <f t="shared" si="37"/>
        <v>72182</v>
      </c>
      <c r="AL227" s="685" t="s">
        <v>159</v>
      </c>
      <c r="AM227" s="699">
        <v>2500</v>
      </c>
      <c r="AN227" s="699">
        <v>1000</v>
      </c>
    </row>
    <row r="228" spans="2:40" x14ac:dyDescent="0.3">
      <c r="B228" s="686"/>
      <c r="C228" s="687">
        <v>227</v>
      </c>
      <c r="D228" s="688"/>
      <c r="E228" s="688"/>
      <c r="F228" s="689"/>
      <c r="G228" s="689">
        <v>43.02</v>
      </c>
      <c r="H228" s="690"/>
      <c r="I228" s="691"/>
      <c r="J228" s="692"/>
      <c r="K228" s="692"/>
      <c r="L228" s="692"/>
      <c r="M228" s="693"/>
      <c r="N228" s="693"/>
      <c r="O228" s="691"/>
      <c r="P228" s="688" t="s">
        <v>1772</v>
      </c>
      <c r="Q228" s="694"/>
      <c r="R228" s="688"/>
      <c r="S228" s="688" t="e">
        <f>+#REF!</f>
        <v>#REF!</v>
      </c>
      <c r="T228" s="688"/>
      <c r="U228" s="694"/>
      <c r="V228" s="688"/>
      <c r="W228" s="695"/>
      <c r="X228" s="696"/>
      <c r="Y228" s="688"/>
      <c r="Z228" s="688"/>
      <c r="AA228" s="688"/>
      <c r="AB228" s="688"/>
      <c r="AC228" s="688"/>
      <c r="AD228" s="688"/>
      <c r="AE228" s="689"/>
      <c r="AF228" s="693"/>
      <c r="AG228" s="688"/>
      <c r="AH228" s="693"/>
      <c r="AI228" s="697">
        <v>2005</v>
      </c>
      <c r="AJ228" s="698" t="s">
        <v>1777</v>
      </c>
      <c r="AK228" s="699">
        <f t="shared" si="37"/>
        <v>47322</v>
      </c>
      <c r="AL228" s="685" t="s">
        <v>159</v>
      </c>
      <c r="AM228" s="699">
        <v>2500</v>
      </c>
      <c r="AN228" s="699">
        <v>1000</v>
      </c>
    </row>
    <row r="229" spans="2:40" x14ac:dyDescent="0.3">
      <c r="B229" s="686"/>
      <c r="C229" s="687">
        <v>228</v>
      </c>
      <c r="D229" s="688"/>
      <c r="E229" s="688"/>
      <c r="F229" s="689"/>
      <c r="G229" s="689">
        <v>34.28</v>
      </c>
      <c r="H229" s="690"/>
      <c r="I229" s="691"/>
      <c r="J229" s="692"/>
      <c r="K229" s="692"/>
      <c r="L229" s="692"/>
      <c r="M229" s="693"/>
      <c r="N229" s="693"/>
      <c r="O229" s="691"/>
      <c r="P229" s="688" t="s">
        <v>1772</v>
      </c>
      <c r="Q229" s="694"/>
      <c r="R229" s="688"/>
      <c r="S229" s="688" t="e">
        <f>+#REF!</f>
        <v>#REF!</v>
      </c>
      <c r="T229" s="688"/>
      <c r="U229" s="694"/>
      <c r="V229" s="688"/>
      <c r="W229" s="695"/>
      <c r="X229" s="696"/>
      <c r="Y229" s="688"/>
      <c r="Z229" s="688"/>
      <c r="AA229" s="688"/>
      <c r="AB229" s="688"/>
      <c r="AC229" s="688"/>
      <c r="AD229" s="688"/>
      <c r="AE229" s="689"/>
      <c r="AF229" s="693"/>
      <c r="AG229" s="688"/>
      <c r="AH229" s="693"/>
      <c r="AI229" s="697">
        <v>2005</v>
      </c>
      <c r="AJ229" s="698" t="s">
        <v>1778</v>
      </c>
      <c r="AK229" s="699">
        <f t="shared" si="37"/>
        <v>37708</v>
      </c>
      <c r="AL229" s="685" t="s">
        <v>159</v>
      </c>
      <c r="AM229" s="699">
        <v>2500</v>
      </c>
      <c r="AN229" s="699">
        <v>1000</v>
      </c>
    </row>
    <row r="230" spans="2:40" x14ac:dyDescent="0.3">
      <c r="B230" s="686"/>
      <c r="C230" s="687">
        <v>229</v>
      </c>
      <c r="D230" s="688"/>
      <c r="E230" s="688"/>
      <c r="F230" s="689"/>
      <c r="G230" s="689">
        <v>65.45</v>
      </c>
      <c r="H230" s="690"/>
      <c r="I230" s="691"/>
      <c r="J230" s="692"/>
      <c r="K230" s="692"/>
      <c r="L230" s="692"/>
      <c r="M230" s="693"/>
      <c r="N230" s="693"/>
      <c r="O230" s="691"/>
      <c r="P230" s="688" t="s">
        <v>1772</v>
      </c>
      <c r="Q230" s="694"/>
      <c r="R230" s="688"/>
      <c r="S230" s="688" t="e">
        <f>+#REF!</f>
        <v>#REF!</v>
      </c>
      <c r="T230" s="688"/>
      <c r="U230" s="694"/>
      <c r="V230" s="688"/>
      <c r="W230" s="695"/>
      <c r="X230" s="696"/>
      <c r="Y230" s="688"/>
      <c r="Z230" s="688"/>
      <c r="AA230" s="688"/>
      <c r="AB230" s="688"/>
      <c r="AC230" s="688"/>
      <c r="AD230" s="688"/>
      <c r="AE230" s="689"/>
      <c r="AF230" s="693"/>
      <c r="AG230" s="688"/>
      <c r="AH230" s="693"/>
      <c r="AI230" s="697">
        <v>2005</v>
      </c>
      <c r="AJ230" s="698" t="s">
        <v>1779</v>
      </c>
      <c r="AK230" s="699">
        <f t="shared" si="37"/>
        <v>71995</v>
      </c>
      <c r="AL230" s="685" t="s">
        <v>159</v>
      </c>
      <c r="AM230" s="699">
        <v>2500</v>
      </c>
      <c r="AN230" s="699">
        <v>1000</v>
      </c>
    </row>
    <row r="231" spans="2:40" x14ac:dyDescent="0.3">
      <c r="B231" s="686"/>
      <c r="C231" s="687">
        <v>230</v>
      </c>
      <c r="D231" s="688"/>
      <c r="E231" s="688"/>
      <c r="F231" s="689"/>
      <c r="G231" s="689">
        <v>56.06</v>
      </c>
      <c r="H231" s="690"/>
      <c r="I231" s="691"/>
      <c r="J231" s="692"/>
      <c r="K231" s="692"/>
      <c r="L231" s="692"/>
      <c r="M231" s="693"/>
      <c r="N231" s="693"/>
      <c r="O231" s="691"/>
      <c r="P231" s="688" t="s">
        <v>1772</v>
      </c>
      <c r="Q231" s="694"/>
      <c r="R231" s="688"/>
      <c r="S231" s="688" t="e">
        <f>+#REF!</f>
        <v>#REF!</v>
      </c>
      <c r="T231" s="688"/>
      <c r="U231" s="694"/>
      <c r="V231" s="688"/>
      <c r="W231" s="695"/>
      <c r="X231" s="696"/>
      <c r="Y231" s="688"/>
      <c r="Z231" s="688"/>
      <c r="AA231" s="688"/>
      <c r="AB231" s="688"/>
      <c r="AC231" s="688"/>
      <c r="AD231" s="688"/>
      <c r="AE231" s="689"/>
      <c r="AF231" s="693"/>
      <c r="AG231" s="688"/>
      <c r="AH231" s="693"/>
      <c r="AI231" s="697">
        <v>2005</v>
      </c>
      <c r="AJ231" s="698" t="s">
        <v>1780</v>
      </c>
      <c r="AK231" s="699">
        <f t="shared" si="37"/>
        <v>61666</v>
      </c>
      <c r="AL231" s="685" t="s">
        <v>159</v>
      </c>
      <c r="AM231" s="699">
        <v>2500</v>
      </c>
      <c r="AN231" s="699">
        <v>1000</v>
      </c>
    </row>
    <row r="232" spans="2:40" x14ac:dyDescent="0.3">
      <c r="B232" s="686"/>
      <c r="C232" s="687">
        <v>231</v>
      </c>
      <c r="D232" s="688"/>
      <c r="E232" s="688"/>
      <c r="F232" s="689"/>
      <c r="G232" s="689">
        <v>54.27</v>
      </c>
      <c r="H232" s="690"/>
      <c r="I232" s="691"/>
      <c r="J232" s="692"/>
      <c r="K232" s="692"/>
      <c r="L232" s="692"/>
      <c r="M232" s="693"/>
      <c r="N232" s="693"/>
      <c r="O232" s="691"/>
      <c r="P232" s="688" t="s">
        <v>1772</v>
      </c>
      <c r="Q232" s="694"/>
      <c r="R232" s="688"/>
      <c r="S232" s="688" t="e">
        <f>+#REF!</f>
        <v>#REF!</v>
      </c>
      <c r="T232" s="688"/>
      <c r="U232" s="694"/>
      <c r="V232" s="688"/>
      <c r="W232" s="695"/>
      <c r="X232" s="696"/>
      <c r="Y232" s="688"/>
      <c r="Z232" s="688"/>
      <c r="AA232" s="688"/>
      <c r="AB232" s="688"/>
      <c r="AC232" s="688"/>
      <c r="AD232" s="688"/>
      <c r="AE232" s="689"/>
      <c r="AF232" s="693"/>
      <c r="AG232" s="688"/>
      <c r="AH232" s="693"/>
      <c r="AI232" s="697">
        <v>2005</v>
      </c>
      <c r="AJ232" s="698" t="s">
        <v>1781</v>
      </c>
      <c r="AK232" s="699">
        <f t="shared" si="37"/>
        <v>59697</v>
      </c>
      <c r="AL232" s="685" t="s">
        <v>159</v>
      </c>
      <c r="AM232" s="699">
        <v>2500</v>
      </c>
      <c r="AN232" s="699">
        <v>1000</v>
      </c>
    </row>
    <row r="233" spans="2:40" x14ac:dyDescent="0.3">
      <c r="B233" s="686"/>
      <c r="C233" s="687">
        <v>232</v>
      </c>
      <c r="D233" s="688"/>
      <c r="E233" s="688"/>
      <c r="F233" s="689"/>
      <c r="G233" s="689">
        <v>54.19</v>
      </c>
      <c r="H233" s="690"/>
      <c r="I233" s="691"/>
      <c r="J233" s="692"/>
      <c r="K233" s="692"/>
      <c r="L233" s="692"/>
      <c r="M233" s="693"/>
      <c r="N233" s="693"/>
      <c r="O233" s="691"/>
      <c r="P233" s="688" t="s">
        <v>1772</v>
      </c>
      <c r="Q233" s="694"/>
      <c r="R233" s="688"/>
      <c r="S233" s="688" t="e">
        <f>+#REF!</f>
        <v>#REF!</v>
      </c>
      <c r="T233" s="688"/>
      <c r="U233" s="694"/>
      <c r="V233" s="688"/>
      <c r="W233" s="695"/>
      <c r="X233" s="696"/>
      <c r="Y233" s="688"/>
      <c r="Z233" s="688"/>
      <c r="AA233" s="688"/>
      <c r="AB233" s="688"/>
      <c r="AC233" s="688"/>
      <c r="AD233" s="688"/>
      <c r="AE233" s="689"/>
      <c r="AF233" s="693"/>
      <c r="AG233" s="688"/>
      <c r="AH233" s="693"/>
      <c r="AI233" s="697">
        <v>2005</v>
      </c>
      <c r="AJ233" s="698" t="s">
        <v>1782</v>
      </c>
      <c r="AK233" s="699">
        <f t="shared" si="37"/>
        <v>59609</v>
      </c>
      <c r="AL233" s="685" t="s">
        <v>159</v>
      </c>
      <c r="AM233" s="699">
        <v>2500</v>
      </c>
      <c r="AN233" s="699">
        <v>1000</v>
      </c>
    </row>
    <row r="234" spans="2:40" x14ac:dyDescent="0.3">
      <c r="B234" s="686"/>
      <c r="C234" s="687">
        <v>233</v>
      </c>
      <c r="D234" s="688"/>
      <c r="E234" s="688"/>
      <c r="F234" s="689"/>
      <c r="G234" s="689">
        <v>43.02</v>
      </c>
      <c r="H234" s="690"/>
      <c r="I234" s="691"/>
      <c r="J234" s="692"/>
      <c r="K234" s="692"/>
      <c r="L234" s="692"/>
      <c r="M234" s="693"/>
      <c r="N234" s="693"/>
      <c r="O234" s="691"/>
      <c r="P234" s="688" t="s">
        <v>1772</v>
      </c>
      <c r="Q234" s="694"/>
      <c r="R234" s="688"/>
      <c r="S234" s="688" t="e">
        <f>+#REF!</f>
        <v>#REF!</v>
      </c>
      <c r="T234" s="688"/>
      <c r="U234" s="694"/>
      <c r="V234" s="688"/>
      <c r="W234" s="695"/>
      <c r="X234" s="696"/>
      <c r="Y234" s="688"/>
      <c r="Z234" s="688"/>
      <c r="AA234" s="688"/>
      <c r="AB234" s="688"/>
      <c r="AC234" s="688"/>
      <c r="AD234" s="688"/>
      <c r="AE234" s="689"/>
      <c r="AF234" s="693"/>
      <c r="AG234" s="688"/>
      <c r="AH234" s="693"/>
      <c r="AI234" s="697">
        <v>2005</v>
      </c>
      <c r="AJ234" s="698" t="s">
        <v>1783</v>
      </c>
      <c r="AK234" s="699">
        <f t="shared" si="37"/>
        <v>47322</v>
      </c>
      <c r="AL234" s="685" t="s">
        <v>159</v>
      </c>
      <c r="AM234" s="699">
        <v>2500</v>
      </c>
      <c r="AN234" s="699">
        <v>1000</v>
      </c>
    </row>
    <row r="235" spans="2:40" x14ac:dyDescent="0.3">
      <c r="B235" s="686"/>
      <c r="C235" s="687">
        <v>234</v>
      </c>
      <c r="D235" s="688"/>
      <c r="E235" s="688"/>
      <c r="F235" s="689"/>
      <c r="G235" s="689">
        <v>53.7</v>
      </c>
      <c r="H235" s="690"/>
      <c r="I235" s="691"/>
      <c r="J235" s="692"/>
      <c r="K235" s="692"/>
      <c r="L235" s="692"/>
      <c r="M235" s="693"/>
      <c r="N235" s="693"/>
      <c r="O235" s="691"/>
      <c r="P235" s="688" t="s">
        <v>1784</v>
      </c>
      <c r="Q235" s="694"/>
      <c r="R235" s="688"/>
      <c r="S235" s="688" t="e">
        <f>+#REF!</f>
        <v>#REF!</v>
      </c>
      <c r="T235" s="688"/>
      <c r="U235" s="694"/>
      <c r="V235" s="688"/>
      <c r="W235" s="695"/>
      <c r="X235" s="696"/>
      <c r="Y235" s="688"/>
      <c r="Z235" s="688"/>
      <c r="AA235" s="688"/>
      <c r="AB235" s="688"/>
      <c r="AC235" s="688"/>
      <c r="AD235" s="688"/>
      <c r="AE235" s="689"/>
      <c r="AF235" s="693"/>
      <c r="AG235" s="688"/>
      <c r="AH235" s="693"/>
      <c r="AI235" s="697">
        <v>2005</v>
      </c>
      <c r="AJ235" s="698" t="s">
        <v>1785</v>
      </c>
      <c r="AK235" s="699">
        <f t="shared" si="37"/>
        <v>59070</v>
      </c>
      <c r="AL235" s="685" t="s">
        <v>159</v>
      </c>
      <c r="AM235" s="699">
        <v>2500</v>
      </c>
      <c r="AN235" s="699">
        <v>1000</v>
      </c>
    </row>
    <row r="236" spans="2:40" x14ac:dyDescent="0.3">
      <c r="B236" s="686"/>
      <c r="C236" s="687">
        <v>235</v>
      </c>
      <c r="D236" s="688"/>
      <c r="E236" s="688"/>
      <c r="F236" s="689"/>
      <c r="G236" s="689">
        <v>53.42</v>
      </c>
      <c r="H236" s="690"/>
      <c r="I236" s="691"/>
      <c r="J236" s="692"/>
      <c r="K236" s="692"/>
      <c r="L236" s="692"/>
      <c r="M236" s="693"/>
      <c r="N236" s="693"/>
      <c r="O236" s="691"/>
      <c r="P236" s="688" t="s">
        <v>1784</v>
      </c>
      <c r="Q236" s="694"/>
      <c r="R236" s="688"/>
      <c r="S236" s="688" t="e">
        <f>+#REF!</f>
        <v>#REF!</v>
      </c>
      <c r="T236" s="688"/>
      <c r="U236" s="694"/>
      <c r="V236" s="688"/>
      <c r="W236" s="695"/>
      <c r="X236" s="696"/>
      <c r="Y236" s="688"/>
      <c r="Z236" s="688"/>
      <c r="AA236" s="688"/>
      <c r="AB236" s="688"/>
      <c r="AC236" s="688"/>
      <c r="AD236" s="688"/>
      <c r="AE236" s="689"/>
      <c r="AF236" s="693"/>
      <c r="AG236" s="688"/>
      <c r="AH236" s="693"/>
      <c r="AI236" s="697">
        <v>2005</v>
      </c>
      <c r="AJ236" s="698" t="s">
        <v>1786</v>
      </c>
      <c r="AK236" s="699">
        <f t="shared" si="37"/>
        <v>58762</v>
      </c>
      <c r="AL236" s="685" t="s">
        <v>159</v>
      </c>
      <c r="AM236" s="699">
        <v>2500</v>
      </c>
      <c r="AN236" s="699">
        <v>1000</v>
      </c>
    </row>
    <row r="237" spans="2:40" x14ac:dyDescent="0.3">
      <c r="B237" s="686"/>
      <c r="C237" s="687">
        <v>236</v>
      </c>
      <c r="D237" s="688"/>
      <c r="E237" s="688"/>
      <c r="F237" s="689"/>
      <c r="G237" s="689">
        <v>60.29</v>
      </c>
      <c r="H237" s="690"/>
      <c r="I237" s="691"/>
      <c r="J237" s="692"/>
      <c r="K237" s="692"/>
      <c r="L237" s="692"/>
      <c r="M237" s="693"/>
      <c r="N237" s="693"/>
      <c r="O237" s="691"/>
      <c r="P237" s="688" t="s">
        <v>1784</v>
      </c>
      <c r="Q237" s="694"/>
      <c r="R237" s="688"/>
      <c r="S237" s="688" t="e">
        <f>+#REF!</f>
        <v>#REF!</v>
      </c>
      <c r="T237" s="688"/>
      <c r="U237" s="694"/>
      <c r="V237" s="688"/>
      <c r="W237" s="695"/>
      <c r="X237" s="696"/>
      <c r="Y237" s="688"/>
      <c r="Z237" s="688"/>
      <c r="AA237" s="688"/>
      <c r="AB237" s="688"/>
      <c r="AC237" s="688"/>
      <c r="AD237" s="688"/>
      <c r="AE237" s="689"/>
      <c r="AF237" s="693"/>
      <c r="AG237" s="688"/>
      <c r="AH237" s="693"/>
      <c r="AI237" s="697">
        <v>2005</v>
      </c>
      <c r="AJ237" s="698" t="s">
        <v>1787</v>
      </c>
      <c r="AK237" s="699">
        <f t="shared" si="37"/>
        <v>66319</v>
      </c>
      <c r="AL237" s="685" t="s">
        <v>159</v>
      </c>
      <c r="AM237" s="699">
        <v>2500</v>
      </c>
      <c r="AN237" s="699">
        <v>1000</v>
      </c>
    </row>
    <row r="238" spans="2:40" x14ac:dyDescent="0.3">
      <c r="B238" s="686"/>
      <c r="C238" s="687">
        <v>237</v>
      </c>
      <c r="D238" s="688"/>
      <c r="E238" s="688"/>
      <c r="F238" s="689"/>
      <c r="G238" s="689">
        <v>56.14</v>
      </c>
      <c r="H238" s="690"/>
      <c r="I238" s="691"/>
      <c r="J238" s="692"/>
      <c r="K238" s="692"/>
      <c r="L238" s="692"/>
      <c r="M238" s="693"/>
      <c r="N238" s="693"/>
      <c r="O238" s="691"/>
      <c r="P238" s="688" t="s">
        <v>1784</v>
      </c>
      <c r="Q238" s="694"/>
      <c r="R238" s="688"/>
      <c r="S238" s="688" t="e">
        <f>+#REF!</f>
        <v>#REF!</v>
      </c>
      <c r="T238" s="688"/>
      <c r="U238" s="694"/>
      <c r="V238" s="688"/>
      <c r="W238" s="695"/>
      <c r="X238" s="696"/>
      <c r="Y238" s="688"/>
      <c r="Z238" s="688"/>
      <c r="AA238" s="688"/>
      <c r="AB238" s="688"/>
      <c r="AC238" s="688"/>
      <c r="AD238" s="688"/>
      <c r="AE238" s="689"/>
      <c r="AF238" s="693"/>
      <c r="AG238" s="688"/>
      <c r="AH238" s="693"/>
      <c r="AI238" s="697">
        <v>2005</v>
      </c>
      <c r="AJ238" s="698" t="s">
        <v>1788</v>
      </c>
      <c r="AK238" s="699">
        <f t="shared" si="37"/>
        <v>61754</v>
      </c>
      <c r="AL238" s="685" t="s">
        <v>159</v>
      </c>
      <c r="AM238" s="699">
        <v>2500</v>
      </c>
      <c r="AN238" s="699">
        <v>1000</v>
      </c>
    </row>
    <row r="239" spans="2:40" x14ac:dyDescent="0.3">
      <c r="B239" s="686"/>
      <c r="C239" s="687">
        <v>238</v>
      </c>
      <c r="D239" s="688"/>
      <c r="E239" s="688"/>
      <c r="F239" s="689"/>
      <c r="G239" s="689">
        <v>64.88</v>
      </c>
      <c r="H239" s="690"/>
      <c r="I239" s="691"/>
      <c r="J239" s="692"/>
      <c r="K239" s="692"/>
      <c r="L239" s="692"/>
      <c r="M239" s="693"/>
      <c r="N239" s="693"/>
      <c r="O239" s="691"/>
      <c r="P239" s="688" t="s">
        <v>1784</v>
      </c>
      <c r="Q239" s="694"/>
      <c r="R239" s="688"/>
      <c r="S239" s="688" t="e">
        <f>+#REF!</f>
        <v>#REF!</v>
      </c>
      <c r="T239" s="688"/>
      <c r="U239" s="694"/>
      <c r="V239" s="688"/>
      <c r="W239" s="695"/>
      <c r="X239" s="696"/>
      <c r="Y239" s="688"/>
      <c r="Z239" s="688"/>
      <c r="AA239" s="688"/>
      <c r="AB239" s="688"/>
      <c r="AC239" s="688"/>
      <c r="AD239" s="688"/>
      <c r="AE239" s="689"/>
      <c r="AF239" s="693"/>
      <c r="AG239" s="688"/>
      <c r="AH239" s="693"/>
      <c r="AI239" s="697">
        <v>2005</v>
      </c>
      <c r="AJ239" s="698" t="s">
        <v>1789</v>
      </c>
      <c r="AK239" s="699">
        <f t="shared" si="37"/>
        <v>71368</v>
      </c>
      <c r="AL239" s="685" t="s">
        <v>159</v>
      </c>
      <c r="AM239" s="699">
        <v>2500</v>
      </c>
      <c r="AN239" s="699">
        <v>1000</v>
      </c>
    </row>
    <row r="240" spans="2:40" x14ac:dyDescent="0.3">
      <c r="B240" s="686"/>
      <c r="C240" s="687">
        <v>239</v>
      </c>
      <c r="D240" s="688"/>
      <c r="E240" s="688"/>
      <c r="F240" s="689"/>
      <c r="G240" s="689">
        <v>64.25</v>
      </c>
      <c r="H240" s="690"/>
      <c r="I240" s="691"/>
      <c r="J240" s="692"/>
      <c r="K240" s="692"/>
      <c r="L240" s="692"/>
      <c r="M240" s="693"/>
      <c r="N240" s="693"/>
      <c r="O240" s="691"/>
      <c r="P240" s="688" t="s">
        <v>1784</v>
      </c>
      <c r="Q240" s="694"/>
      <c r="R240" s="688"/>
      <c r="S240" s="688" t="e">
        <f>+#REF!</f>
        <v>#REF!</v>
      </c>
      <c r="T240" s="688"/>
      <c r="U240" s="694"/>
      <c r="V240" s="688"/>
      <c r="W240" s="695"/>
      <c r="X240" s="696"/>
      <c r="Y240" s="688"/>
      <c r="Z240" s="688"/>
      <c r="AA240" s="688"/>
      <c r="AB240" s="688"/>
      <c r="AC240" s="688"/>
      <c r="AD240" s="688"/>
      <c r="AE240" s="689"/>
      <c r="AF240" s="693"/>
      <c r="AG240" s="688"/>
      <c r="AH240" s="693"/>
      <c r="AI240" s="697">
        <v>2005</v>
      </c>
      <c r="AJ240" s="698" t="s">
        <v>1790</v>
      </c>
      <c r="AK240" s="699">
        <f t="shared" si="37"/>
        <v>70675</v>
      </c>
      <c r="AL240" s="685" t="s">
        <v>159</v>
      </c>
      <c r="AM240" s="699">
        <v>2500</v>
      </c>
      <c r="AN240" s="699">
        <v>1000</v>
      </c>
    </row>
    <row r="241" spans="1:40" x14ac:dyDescent="0.3">
      <c r="B241" s="686"/>
      <c r="C241" s="687">
        <v>240</v>
      </c>
      <c r="D241" s="688"/>
      <c r="E241" s="688"/>
      <c r="F241" s="689"/>
      <c r="G241" s="689">
        <v>53.37</v>
      </c>
      <c r="H241" s="690"/>
      <c r="I241" s="691"/>
      <c r="J241" s="692"/>
      <c r="K241" s="692"/>
      <c r="L241" s="692"/>
      <c r="M241" s="693"/>
      <c r="N241" s="693"/>
      <c r="O241" s="691"/>
      <c r="P241" s="688" t="s">
        <v>1784</v>
      </c>
      <c r="Q241" s="694"/>
      <c r="R241" s="688"/>
      <c r="S241" s="688" t="e">
        <f>+#REF!</f>
        <v>#REF!</v>
      </c>
      <c r="T241" s="688"/>
      <c r="U241" s="694"/>
      <c r="V241" s="688"/>
      <c r="W241" s="695"/>
      <c r="X241" s="696"/>
      <c r="Y241" s="688"/>
      <c r="Z241" s="688"/>
      <c r="AA241" s="688"/>
      <c r="AB241" s="688"/>
      <c r="AC241" s="688"/>
      <c r="AD241" s="688"/>
      <c r="AE241" s="689"/>
      <c r="AF241" s="693"/>
      <c r="AG241" s="688"/>
      <c r="AH241" s="693"/>
      <c r="AI241" s="697">
        <v>2005</v>
      </c>
      <c r="AJ241" s="698" t="s">
        <v>1791</v>
      </c>
      <c r="AK241" s="699">
        <f t="shared" si="37"/>
        <v>58707</v>
      </c>
      <c r="AL241" s="685" t="s">
        <v>159</v>
      </c>
      <c r="AM241" s="699">
        <v>2500</v>
      </c>
      <c r="AN241" s="699">
        <v>1000</v>
      </c>
    </row>
    <row r="242" spans="1:40" x14ac:dyDescent="0.3">
      <c r="B242" s="686"/>
      <c r="C242" s="687">
        <v>241</v>
      </c>
      <c r="D242" s="688"/>
      <c r="E242" s="688"/>
      <c r="F242" s="689"/>
      <c r="G242" s="689">
        <v>68.8</v>
      </c>
      <c r="H242" s="690"/>
      <c r="I242" s="691"/>
      <c r="J242" s="692"/>
      <c r="K242" s="692"/>
      <c r="L242" s="692"/>
      <c r="M242" s="693"/>
      <c r="N242" s="693"/>
      <c r="O242" s="691"/>
      <c r="P242" s="688" t="s">
        <v>1792</v>
      </c>
      <c r="Q242" s="694"/>
      <c r="R242" s="688"/>
      <c r="S242" s="688" t="e">
        <f>+#REF!</f>
        <v>#REF!</v>
      </c>
      <c r="T242" s="688"/>
      <c r="U242" s="694"/>
      <c r="V242" s="688"/>
      <c r="W242" s="695"/>
      <c r="X242" s="696"/>
      <c r="Y242" s="688"/>
      <c r="Z242" s="688"/>
      <c r="AA242" s="688"/>
      <c r="AB242" s="688"/>
      <c r="AC242" s="688"/>
      <c r="AD242" s="688"/>
      <c r="AE242" s="689"/>
      <c r="AF242" s="693"/>
      <c r="AG242" s="688"/>
      <c r="AH242" s="693"/>
      <c r="AI242" s="697">
        <v>2010</v>
      </c>
      <c r="AJ242" s="698" t="s">
        <v>1793</v>
      </c>
      <c r="AK242" s="699">
        <f t="shared" si="37"/>
        <v>75680</v>
      </c>
      <c r="AL242" s="685" t="s">
        <v>159</v>
      </c>
      <c r="AM242" s="699">
        <v>2500</v>
      </c>
      <c r="AN242" s="699">
        <v>1000</v>
      </c>
    </row>
    <row r="243" spans="1:40" x14ac:dyDescent="0.3">
      <c r="A243" s="669" t="s">
        <v>1794</v>
      </c>
      <c r="B243" s="686" t="e">
        <f>+#REF!+1</f>
        <v>#REF!</v>
      </c>
      <c r="C243" s="687">
        <v>242</v>
      </c>
      <c r="D243" s="688">
        <v>100</v>
      </c>
      <c r="E243" s="688">
        <v>206</v>
      </c>
      <c r="F243" s="689"/>
      <c r="G243" s="689">
        <v>37.71</v>
      </c>
      <c r="H243" s="690">
        <v>1.024</v>
      </c>
      <c r="I243" s="691">
        <f t="shared" si="27"/>
        <v>0</v>
      </c>
      <c r="J243" s="692">
        <f t="shared" si="28"/>
        <v>0</v>
      </c>
      <c r="K243" s="692">
        <v>0</v>
      </c>
      <c r="L243" s="692">
        <f t="shared" si="29"/>
        <v>0</v>
      </c>
      <c r="M243" s="693">
        <v>6.35</v>
      </c>
      <c r="N243" s="693">
        <v>0</v>
      </c>
      <c r="O243" s="691">
        <f t="shared" si="34"/>
        <v>0</v>
      </c>
      <c r="P243" s="688" t="s">
        <v>1795</v>
      </c>
      <c r="Q243" s="694">
        <v>5000</v>
      </c>
      <c r="R243" s="688" t="s">
        <v>886</v>
      </c>
      <c r="S243" s="688" t="e">
        <f>+#REF!</f>
        <v>#REF!</v>
      </c>
      <c r="T243" s="688" t="s">
        <v>1795</v>
      </c>
      <c r="U243" s="694">
        <v>5000</v>
      </c>
      <c r="V243" s="688" t="s">
        <v>886</v>
      </c>
      <c r="W243" s="695">
        <v>37944</v>
      </c>
      <c r="X243" s="696" t="s">
        <v>1094</v>
      </c>
      <c r="Y243" s="688" t="s">
        <v>1796</v>
      </c>
      <c r="Z243" s="688" t="s">
        <v>1797</v>
      </c>
      <c r="AA243" s="688" t="s">
        <v>891</v>
      </c>
      <c r="AB243" s="688" t="s">
        <v>891</v>
      </c>
      <c r="AC243" s="688"/>
      <c r="AD243" s="688"/>
      <c r="AE243" s="689">
        <v>4944083.5999999996</v>
      </c>
      <c r="AF243" s="693">
        <v>11.2</v>
      </c>
      <c r="AG243" s="688" t="s">
        <v>891</v>
      </c>
      <c r="AH243" s="693">
        <v>11.2</v>
      </c>
      <c r="AI243" s="697" t="s">
        <v>1094</v>
      </c>
      <c r="AJ243" s="698" t="s">
        <v>1798</v>
      </c>
      <c r="AK243" s="699">
        <f>G243*850</f>
        <v>32053.5</v>
      </c>
      <c r="AL243" s="685" t="s">
        <v>159</v>
      </c>
      <c r="AM243" s="699">
        <v>2500</v>
      </c>
      <c r="AN243" s="699">
        <v>1000</v>
      </c>
    </row>
    <row r="244" spans="1:40" x14ac:dyDescent="0.3">
      <c r="A244" s="669" t="s">
        <v>1799</v>
      </c>
      <c r="B244" s="686" t="e">
        <f>+#REF!+1</f>
        <v>#REF!</v>
      </c>
      <c r="C244" s="687">
        <f t="shared" ref="C244:C269" si="38">+C243+1</f>
        <v>243</v>
      </c>
      <c r="D244" s="688">
        <v>100</v>
      </c>
      <c r="E244" s="688">
        <v>239</v>
      </c>
      <c r="F244" s="689"/>
      <c r="G244" s="689">
        <v>51.35</v>
      </c>
      <c r="H244" s="690">
        <v>0.98099999999999998</v>
      </c>
      <c r="I244" s="691">
        <f t="shared" si="27"/>
        <v>0</v>
      </c>
      <c r="J244" s="692">
        <f t="shared" si="28"/>
        <v>0</v>
      </c>
      <c r="K244" s="692">
        <v>0</v>
      </c>
      <c r="L244" s="692">
        <f t="shared" si="29"/>
        <v>0</v>
      </c>
      <c r="M244" s="693">
        <v>3.81</v>
      </c>
      <c r="N244" s="693">
        <v>0</v>
      </c>
      <c r="O244" s="691">
        <f t="shared" si="34"/>
        <v>0</v>
      </c>
      <c r="P244" s="688" t="s">
        <v>1800</v>
      </c>
      <c r="Q244" s="694">
        <v>5000</v>
      </c>
      <c r="R244" s="688" t="s">
        <v>886</v>
      </c>
      <c r="S244" s="688" t="e">
        <f>+#REF!</f>
        <v>#REF!</v>
      </c>
      <c r="T244" s="688" t="s">
        <v>1801</v>
      </c>
      <c r="U244" s="694">
        <v>5000</v>
      </c>
      <c r="V244" s="688" t="s">
        <v>886</v>
      </c>
      <c r="W244" s="695">
        <v>34335</v>
      </c>
      <c r="X244" s="696" t="s">
        <v>1462</v>
      </c>
      <c r="Y244" s="688" t="s">
        <v>1802</v>
      </c>
      <c r="Z244" s="688" t="s">
        <v>1803</v>
      </c>
      <c r="AA244" s="688" t="s">
        <v>891</v>
      </c>
      <c r="AB244" s="688" t="s">
        <v>891</v>
      </c>
      <c r="AC244" s="688"/>
      <c r="AD244" s="688"/>
      <c r="AE244" s="689">
        <v>7482891.5700000003</v>
      </c>
      <c r="AF244" s="693">
        <v>5.0599999999999996</v>
      </c>
      <c r="AG244" s="688" t="s">
        <v>891</v>
      </c>
      <c r="AH244" s="693">
        <v>5.0599999999999996</v>
      </c>
      <c r="AI244" s="697" t="s">
        <v>1462</v>
      </c>
      <c r="AJ244" s="698" t="s">
        <v>1804</v>
      </c>
      <c r="AK244" s="699">
        <f>G244*900</f>
        <v>46215</v>
      </c>
      <c r="AL244" s="685" t="s">
        <v>159</v>
      </c>
      <c r="AM244" s="699">
        <v>2500</v>
      </c>
      <c r="AN244" s="699">
        <v>1000</v>
      </c>
    </row>
    <row r="245" spans="1:40" x14ac:dyDescent="0.3">
      <c r="A245" s="669" t="s">
        <v>1805</v>
      </c>
      <c r="B245" s="686" t="e">
        <f>+#REF!+1</f>
        <v>#REF!</v>
      </c>
      <c r="C245" s="687">
        <f t="shared" si="38"/>
        <v>244</v>
      </c>
      <c r="D245" s="688">
        <v>100</v>
      </c>
      <c r="E245" s="688">
        <v>224</v>
      </c>
      <c r="F245" s="689"/>
      <c r="G245" s="689">
        <v>83.53</v>
      </c>
      <c r="H245" s="690">
        <v>0.96599999999999997</v>
      </c>
      <c r="I245" s="691">
        <f t="shared" si="27"/>
        <v>0</v>
      </c>
      <c r="J245" s="692">
        <f t="shared" si="28"/>
        <v>0</v>
      </c>
      <c r="K245" s="692">
        <v>0</v>
      </c>
      <c r="L245" s="692">
        <f t="shared" si="29"/>
        <v>0</v>
      </c>
      <c r="M245" s="693">
        <v>3.81</v>
      </c>
      <c r="N245" s="693">
        <v>0</v>
      </c>
      <c r="O245" s="691">
        <f t="shared" si="34"/>
        <v>0</v>
      </c>
      <c r="P245" s="688" t="s">
        <v>1806</v>
      </c>
      <c r="Q245" s="694">
        <v>5000</v>
      </c>
      <c r="R245" s="688" t="s">
        <v>886</v>
      </c>
      <c r="S245" s="688" t="e">
        <f>+#REF!</f>
        <v>#REF!</v>
      </c>
      <c r="T245" s="688" t="s">
        <v>1807</v>
      </c>
      <c r="U245" s="694">
        <v>5000</v>
      </c>
      <c r="V245" s="688" t="s">
        <v>886</v>
      </c>
      <c r="W245" s="695">
        <v>34700</v>
      </c>
      <c r="X245" s="696" t="s">
        <v>1808</v>
      </c>
      <c r="Y245" s="688" t="s">
        <v>1809</v>
      </c>
      <c r="Z245" s="688" t="s">
        <v>1810</v>
      </c>
      <c r="AA245" s="688" t="s">
        <v>891</v>
      </c>
      <c r="AB245" s="688" t="s">
        <v>891</v>
      </c>
      <c r="AC245" s="688"/>
      <c r="AD245" s="688"/>
      <c r="AE245" s="689">
        <v>11233878.49</v>
      </c>
      <c r="AF245" s="693">
        <v>13.68</v>
      </c>
      <c r="AG245" s="688" t="s">
        <v>891</v>
      </c>
      <c r="AH245" s="693">
        <v>4.5599999999999996</v>
      </c>
      <c r="AI245" s="697" t="s">
        <v>1808</v>
      </c>
      <c r="AJ245" s="698" t="s">
        <v>1811</v>
      </c>
      <c r="AK245" s="699">
        <f t="shared" ref="AK245:AK250" si="39">G245*850</f>
        <v>71000.5</v>
      </c>
      <c r="AL245" s="685" t="s">
        <v>159</v>
      </c>
      <c r="AM245" s="699">
        <v>2500</v>
      </c>
      <c r="AN245" s="699">
        <v>1000</v>
      </c>
    </row>
    <row r="246" spans="1:40" x14ac:dyDescent="0.3">
      <c r="A246" s="669" t="s">
        <v>1812</v>
      </c>
      <c r="B246" s="686" t="e">
        <f>+B245+1</f>
        <v>#REF!</v>
      </c>
      <c r="C246" s="687">
        <f t="shared" si="38"/>
        <v>245</v>
      </c>
      <c r="D246" s="688">
        <v>100</v>
      </c>
      <c r="E246" s="688">
        <v>224</v>
      </c>
      <c r="F246" s="689"/>
      <c r="G246" s="689">
        <v>69.55</v>
      </c>
      <c r="H246" s="690">
        <v>1</v>
      </c>
      <c r="I246" s="691">
        <f t="shared" si="27"/>
        <v>0</v>
      </c>
      <c r="J246" s="692">
        <f t="shared" si="28"/>
        <v>0</v>
      </c>
      <c r="K246" s="692">
        <v>0</v>
      </c>
      <c r="L246" s="692">
        <f t="shared" si="29"/>
        <v>0</v>
      </c>
      <c r="M246" s="693">
        <v>3.81</v>
      </c>
      <c r="N246" s="693">
        <v>0</v>
      </c>
      <c r="O246" s="691">
        <f t="shared" si="34"/>
        <v>0</v>
      </c>
      <c r="P246" s="688" t="s">
        <v>1813</v>
      </c>
      <c r="Q246" s="694">
        <v>5000</v>
      </c>
      <c r="R246" s="688" t="s">
        <v>886</v>
      </c>
      <c r="S246" s="688" t="e">
        <f>+#REF!</f>
        <v>#REF!</v>
      </c>
      <c r="T246" s="688" t="s">
        <v>1814</v>
      </c>
      <c r="U246" s="694">
        <v>5000</v>
      </c>
      <c r="V246" s="688" t="s">
        <v>886</v>
      </c>
      <c r="W246" s="695">
        <v>34700</v>
      </c>
      <c r="X246" s="696" t="s">
        <v>1808</v>
      </c>
      <c r="Y246" s="688" t="s">
        <v>1815</v>
      </c>
      <c r="Z246" s="688" t="s">
        <v>1816</v>
      </c>
      <c r="AA246" s="688" t="s">
        <v>891</v>
      </c>
      <c r="AB246" s="688" t="s">
        <v>891</v>
      </c>
      <c r="AC246" s="688"/>
      <c r="AD246" s="688"/>
      <c r="AE246" s="689">
        <v>9682940.1799999997</v>
      </c>
      <c r="AF246" s="693">
        <v>11.68</v>
      </c>
      <c r="AG246" s="688" t="s">
        <v>891</v>
      </c>
      <c r="AH246" s="693">
        <v>3.93</v>
      </c>
      <c r="AI246" s="697" t="s">
        <v>1808</v>
      </c>
      <c r="AJ246" s="698" t="s">
        <v>1817</v>
      </c>
      <c r="AK246" s="699">
        <f t="shared" si="39"/>
        <v>59117.5</v>
      </c>
      <c r="AL246" s="685" t="s">
        <v>159</v>
      </c>
      <c r="AM246" s="699">
        <v>2500</v>
      </c>
      <c r="AN246" s="699">
        <v>1000</v>
      </c>
    </row>
    <row r="247" spans="1:40" x14ac:dyDescent="0.3">
      <c r="A247" s="669" t="s">
        <v>1818</v>
      </c>
      <c r="B247" s="686" t="e">
        <f>+B246+1</f>
        <v>#REF!</v>
      </c>
      <c r="C247" s="687">
        <f t="shared" si="38"/>
        <v>246</v>
      </c>
      <c r="D247" s="688">
        <v>100</v>
      </c>
      <c r="E247" s="688">
        <v>227</v>
      </c>
      <c r="F247" s="689"/>
      <c r="G247" s="689">
        <v>34.61</v>
      </c>
      <c r="H247" s="690">
        <v>1.024</v>
      </c>
      <c r="I247" s="691">
        <f t="shared" si="27"/>
        <v>0</v>
      </c>
      <c r="J247" s="692">
        <f t="shared" si="28"/>
        <v>0</v>
      </c>
      <c r="K247" s="692">
        <v>0</v>
      </c>
      <c r="L247" s="692">
        <f t="shared" si="29"/>
        <v>0</v>
      </c>
      <c r="M247" s="693">
        <v>3.81</v>
      </c>
      <c r="N247" s="693">
        <v>0</v>
      </c>
      <c r="O247" s="691">
        <f t="shared" si="34"/>
        <v>0</v>
      </c>
      <c r="P247" s="688" t="s">
        <v>1819</v>
      </c>
      <c r="Q247" s="694">
        <v>5000</v>
      </c>
      <c r="R247" s="688" t="s">
        <v>886</v>
      </c>
      <c r="S247" s="688" t="e">
        <f>+#REF!</f>
        <v>#REF!</v>
      </c>
      <c r="T247" s="688" t="s">
        <v>1820</v>
      </c>
      <c r="U247" s="694">
        <v>5000</v>
      </c>
      <c r="V247" s="688" t="s">
        <v>886</v>
      </c>
      <c r="W247" s="695">
        <v>34639</v>
      </c>
      <c r="X247" s="696" t="s">
        <v>910</v>
      </c>
      <c r="Y247" s="688" t="s">
        <v>1821</v>
      </c>
      <c r="Z247" s="688" t="s">
        <v>1822</v>
      </c>
      <c r="AA247" s="688" t="s">
        <v>891</v>
      </c>
      <c r="AB247" s="688" t="s">
        <v>891</v>
      </c>
      <c r="AC247" s="688"/>
      <c r="AD247" s="688"/>
      <c r="AE247" s="689">
        <v>5000224.5599999996</v>
      </c>
      <c r="AF247" s="693">
        <v>4.4400000000000004</v>
      </c>
      <c r="AG247" s="688" t="s">
        <v>891</v>
      </c>
      <c r="AH247" s="693">
        <v>4.4400000000000004</v>
      </c>
      <c r="AI247" s="697" t="s">
        <v>910</v>
      </c>
      <c r="AJ247" s="698" t="s">
        <v>1823</v>
      </c>
      <c r="AK247" s="699">
        <f t="shared" si="39"/>
        <v>29418.5</v>
      </c>
      <c r="AL247" s="685" t="s">
        <v>159</v>
      </c>
      <c r="AM247" s="699">
        <v>2500</v>
      </c>
      <c r="AN247" s="699">
        <v>1000</v>
      </c>
    </row>
    <row r="248" spans="1:40" x14ac:dyDescent="0.3">
      <c r="A248" s="669" t="s">
        <v>1824</v>
      </c>
      <c r="B248" s="686" t="e">
        <f>+B247+1</f>
        <v>#REF!</v>
      </c>
      <c r="C248" s="687">
        <f t="shared" si="38"/>
        <v>247</v>
      </c>
      <c r="D248" s="688">
        <v>100</v>
      </c>
      <c r="E248" s="688">
        <v>228</v>
      </c>
      <c r="F248" s="689"/>
      <c r="G248" s="689">
        <v>33.76</v>
      </c>
      <c r="H248" s="690">
        <v>1.024</v>
      </c>
      <c r="I248" s="691">
        <f t="shared" si="27"/>
        <v>0</v>
      </c>
      <c r="J248" s="692">
        <f t="shared" si="28"/>
        <v>0</v>
      </c>
      <c r="K248" s="692">
        <v>0</v>
      </c>
      <c r="L248" s="692">
        <f t="shared" si="29"/>
        <v>0</v>
      </c>
      <c r="M248" s="693">
        <v>3.81</v>
      </c>
      <c r="N248" s="693">
        <v>0</v>
      </c>
      <c r="O248" s="691">
        <f t="shared" si="34"/>
        <v>0</v>
      </c>
      <c r="P248" s="688" t="s">
        <v>1825</v>
      </c>
      <c r="Q248" s="694">
        <v>5000</v>
      </c>
      <c r="R248" s="688" t="s">
        <v>886</v>
      </c>
      <c r="S248" s="688" t="e">
        <f>+#REF!</f>
        <v>#REF!</v>
      </c>
      <c r="T248" s="688" t="s">
        <v>1825</v>
      </c>
      <c r="U248" s="694">
        <v>5000</v>
      </c>
      <c r="V248" s="688" t="s">
        <v>886</v>
      </c>
      <c r="W248" s="695">
        <v>34335</v>
      </c>
      <c r="X248" s="696" t="s">
        <v>910</v>
      </c>
      <c r="Y248" s="688" t="s">
        <v>1826</v>
      </c>
      <c r="Z248" s="688" t="s">
        <v>1827</v>
      </c>
      <c r="AA248" s="688" t="s">
        <v>891</v>
      </c>
      <c r="AB248" s="688" t="s">
        <v>891</v>
      </c>
      <c r="AC248" s="688"/>
      <c r="AD248" s="688"/>
      <c r="AE248" s="689">
        <v>4898908.6100000003</v>
      </c>
      <c r="AF248" s="693">
        <v>4.4800000000000004</v>
      </c>
      <c r="AG248" s="688" t="s">
        <v>891</v>
      </c>
      <c r="AH248" s="693">
        <v>4.4800000000000004</v>
      </c>
      <c r="AI248" s="697" t="s">
        <v>910</v>
      </c>
      <c r="AJ248" s="698" t="s">
        <v>1828</v>
      </c>
      <c r="AK248" s="699">
        <f t="shared" si="39"/>
        <v>28696</v>
      </c>
      <c r="AL248" s="685" t="s">
        <v>159</v>
      </c>
      <c r="AM248" s="699">
        <v>2500</v>
      </c>
      <c r="AN248" s="699">
        <v>1000</v>
      </c>
    </row>
    <row r="249" spans="1:40" x14ac:dyDescent="0.3">
      <c r="A249" s="669" t="s">
        <v>1829</v>
      </c>
      <c r="B249" s="686" t="e">
        <f>+B248+1</f>
        <v>#REF!</v>
      </c>
      <c r="C249" s="687">
        <f t="shared" si="38"/>
        <v>248</v>
      </c>
      <c r="D249" s="688">
        <v>100</v>
      </c>
      <c r="E249" s="688">
        <v>228</v>
      </c>
      <c r="F249" s="689"/>
      <c r="G249" s="689">
        <v>19.48</v>
      </c>
      <c r="H249" s="690">
        <v>1.0569999999999999</v>
      </c>
      <c r="I249" s="691">
        <f t="shared" si="27"/>
        <v>0</v>
      </c>
      <c r="J249" s="692">
        <f t="shared" si="28"/>
        <v>0</v>
      </c>
      <c r="K249" s="692">
        <v>0</v>
      </c>
      <c r="L249" s="692">
        <f t="shared" si="29"/>
        <v>0</v>
      </c>
      <c r="M249" s="693">
        <v>3.81</v>
      </c>
      <c r="N249" s="693">
        <v>0</v>
      </c>
      <c r="O249" s="691">
        <f t="shared" si="34"/>
        <v>0</v>
      </c>
      <c r="P249" s="688" t="s">
        <v>1825</v>
      </c>
      <c r="Q249" s="694">
        <v>5000</v>
      </c>
      <c r="R249" s="688" t="s">
        <v>886</v>
      </c>
      <c r="S249" s="688" t="e">
        <f>+#REF!</f>
        <v>#REF!</v>
      </c>
      <c r="T249" s="688" t="s">
        <v>1830</v>
      </c>
      <c r="U249" s="694">
        <v>5000</v>
      </c>
      <c r="V249" s="688" t="s">
        <v>886</v>
      </c>
      <c r="W249" s="695">
        <v>36861</v>
      </c>
      <c r="X249" s="696" t="s">
        <v>910</v>
      </c>
      <c r="Y249" s="688" t="s">
        <v>1831</v>
      </c>
      <c r="Z249" s="688" t="s">
        <v>1832</v>
      </c>
      <c r="AA249" s="688" t="s">
        <v>891</v>
      </c>
      <c r="AB249" s="688" t="s">
        <v>891</v>
      </c>
      <c r="AC249" s="688"/>
      <c r="AD249" s="688"/>
      <c r="AE249" s="689">
        <v>2917836.03</v>
      </c>
      <c r="AF249" s="693">
        <v>2.67</v>
      </c>
      <c r="AG249" s="688" t="s">
        <v>891</v>
      </c>
      <c r="AH249" s="693">
        <v>2.67</v>
      </c>
      <c r="AI249" s="697" t="s">
        <v>910</v>
      </c>
      <c r="AJ249" s="698" t="s">
        <v>1833</v>
      </c>
      <c r="AK249" s="699">
        <f t="shared" si="39"/>
        <v>16558</v>
      </c>
      <c r="AL249" s="685" t="s">
        <v>159</v>
      </c>
      <c r="AM249" s="699">
        <v>2500</v>
      </c>
      <c r="AN249" s="699">
        <v>1000</v>
      </c>
    </row>
    <row r="250" spans="1:40" x14ac:dyDescent="0.3">
      <c r="B250" s="731"/>
      <c r="C250" s="687">
        <f t="shared" si="38"/>
        <v>249</v>
      </c>
      <c r="D250" s="688">
        <v>100</v>
      </c>
      <c r="E250" s="688">
        <v>234</v>
      </c>
      <c r="F250" s="689"/>
      <c r="G250" s="689">
        <v>34.44</v>
      </c>
      <c r="H250" s="690">
        <v>1.024</v>
      </c>
      <c r="I250" s="691">
        <f t="shared" si="27"/>
        <v>0</v>
      </c>
      <c r="J250" s="692">
        <f t="shared" si="28"/>
        <v>0</v>
      </c>
      <c r="K250" s="692">
        <v>0</v>
      </c>
      <c r="L250" s="692">
        <f t="shared" si="29"/>
        <v>0</v>
      </c>
      <c r="M250" s="693">
        <v>3.81</v>
      </c>
      <c r="N250" s="693">
        <v>0</v>
      </c>
      <c r="O250" s="691">
        <f t="shared" si="34"/>
        <v>0</v>
      </c>
      <c r="P250" s="688" t="s">
        <v>1834</v>
      </c>
      <c r="Q250" s="694">
        <v>5000</v>
      </c>
      <c r="R250" s="688" t="s">
        <v>886</v>
      </c>
      <c r="S250" s="688" t="e">
        <f>+#REF!</f>
        <v>#REF!</v>
      </c>
      <c r="T250" s="688" t="s">
        <v>1834</v>
      </c>
      <c r="U250" s="694">
        <v>5000</v>
      </c>
      <c r="V250" s="688" t="s">
        <v>886</v>
      </c>
      <c r="W250" s="695">
        <v>34335</v>
      </c>
      <c r="X250" s="696" t="s">
        <v>910</v>
      </c>
      <c r="Y250" s="688" t="s">
        <v>1835</v>
      </c>
      <c r="Z250" s="688" t="s">
        <v>1836</v>
      </c>
      <c r="AA250" s="688" t="s">
        <v>891</v>
      </c>
      <c r="AB250" s="688" t="s">
        <v>891</v>
      </c>
      <c r="AC250" s="688"/>
      <c r="AD250" s="688"/>
      <c r="AE250" s="689">
        <v>5129098.66</v>
      </c>
      <c r="AF250" s="693">
        <v>2.91</v>
      </c>
      <c r="AG250" s="688" t="s">
        <v>891</v>
      </c>
      <c r="AH250" s="693">
        <v>2.91</v>
      </c>
      <c r="AI250" s="697" t="s">
        <v>910</v>
      </c>
      <c r="AJ250" s="698" t="s">
        <v>1837</v>
      </c>
      <c r="AK250" s="699">
        <f t="shared" si="39"/>
        <v>29273.999999999996</v>
      </c>
      <c r="AL250" s="685" t="s">
        <v>159</v>
      </c>
      <c r="AM250" s="699">
        <v>2500</v>
      </c>
      <c r="AN250" s="699">
        <v>1000</v>
      </c>
    </row>
    <row r="251" spans="1:40" x14ac:dyDescent="0.3">
      <c r="A251" s="669" t="s">
        <v>1838</v>
      </c>
      <c r="B251" s="686">
        <f t="shared" ref="B251:B260" si="40">+B250+1</f>
        <v>1</v>
      </c>
      <c r="C251" s="687">
        <f t="shared" si="38"/>
        <v>250</v>
      </c>
      <c r="D251" s="688">
        <v>100</v>
      </c>
      <c r="E251" s="688">
        <v>242</v>
      </c>
      <c r="F251" s="689"/>
      <c r="G251" s="689">
        <v>46.7</v>
      </c>
      <c r="H251" s="690">
        <v>1.024</v>
      </c>
      <c r="I251" s="691">
        <f t="shared" ref="I251:I281" si="41">+G251*E251*H251*D251*F251/100</f>
        <v>0</v>
      </c>
      <c r="J251" s="692">
        <f t="shared" ref="J251:J281" si="42">ROUND(+I251*M251/(12*100),0)</f>
        <v>0</v>
      </c>
      <c r="K251" s="692">
        <v>0</v>
      </c>
      <c r="L251" s="692">
        <f t="shared" ref="L251:L281" si="43">+J251-K251</f>
        <v>0</v>
      </c>
      <c r="M251" s="693">
        <v>3.81</v>
      </c>
      <c r="N251" s="693">
        <v>0</v>
      </c>
      <c r="O251" s="691">
        <f t="shared" si="34"/>
        <v>0</v>
      </c>
      <c r="P251" s="688" t="s">
        <v>1839</v>
      </c>
      <c r="Q251" s="694">
        <v>5000</v>
      </c>
      <c r="R251" s="688" t="s">
        <v>886</v>
      </c>
      <c r="S251" s="688" t="e">
        <f>+#REF!</f>
        <v>#REF!</v>
      </c>
      <c r="T251" s="688" t="s">
        <v>1840</v>
      </c>
      <c r="U251" s="694">
        <v>5000</v>
      </c>
      <c r="V251" s="688" t="s">
        <v>886</v>
      </c>
      <c r="W251" s="695">
        <v>34335</v>
      </c>
      <c r="X251" s="696" t="s">
        <v>1194</v>
      </c>
      <c r="Y251" s="688" t="s">
        <v>1841</v>
      </c>
      <c r="Z251" s="688" t="s">
        <v>1842</v>
      </c>
      <c r="AA251" s="688" t="s">
        <v>891</v>
      </c>
      <c r="AB251" s="688" t="s">
        <v>891</v>
      </c>
      <c r="AC251" s="688"/>
      <c r="AD251" s="688"/>
      <c r="AE251" s="689">
        <v>7192738.96</v>
      </c>
      <c r="AF251" s="693">
        <v>12.95</v>
      </c>
      <c r="AG251" s="688" t="s">
        <v>891</v>
      </c>
      <c r="AH251" s="693">
        <v>12.95</v>
      </c>
      <c r="AI251" s="697" t="s">
        <v>1194</v>
      </c>
      <c r="AJ251" s="698" t="s">
        <v>1843</v>
      </c>
      <c r="AK251" s="699">
        <f>G251*600</f>
        <v>28020</v>
      </c>
      <c r="AL251" s="685" t="s">
        <v>160</v>
      </c>
      <c r="AM251" s="699">
        <v>2500</v>
      </c>
      <c r="AN251" s="699">
        <v>1000</v>
      </c>
    </row>
    <row r="252" spans="1:40" ht="15.75" customHeight="1" x14ac:dyDescent="0.3">
      <c r="A252" s="669" t="s">
        <v>1844</v>
      </c>
      <c r="B252" s="686">
        <f t="shared" si="40"/>
        <v>2</v>
      </c>
      <c r="C252" s="687">
        <f t="shared" si="38"/>
        <v>251</v>
      </c>
      <c r="D252" s="688">
        <v>100</v>
      </c>
      <c r="E252" s="688">
        <v>228</v>
      </c>
      <c r="F252" s="689"/>
      <c r="G252" s="689">
        <v>42.42</v>
      </c>
      <c r="H252" s="690">
        <v>1.024</v>
      </c>
      <c r="I252" s="691">
        <f t="shared" si="41"/>
        <v>0</v>
      </c>
      <c r="J252" s="692">
        <f t="shared" si="42"/>
        <v>0</v>
      </c>
      <c r="K252" s="692">
        <v>0</v>
      </c>
      <c r="L252" s="692">
        <f t="shared" si="43"/>
        <v>0</v>
      </c>
      <c r="M252" s="693">
        <v>2.54</v>
      </c>
      <c r="N252" s="693">
        <v>0</v>
      </c>
      <c r="O252" s="691">
        <f t="shared" si="34"/>
        <v>0</v>
      </c>
      <c r="P252" s="688" t="s">
        <v>1845</v>
      </c>
      <c r="Q252" s="694">
        <v>5000</v>
      </c>
      <c r="R252" s="688" t="s">
        <v>886</v>
      </c>
      <c r="S252" s="688" t="e">
        <f>+#REF!</f>
        <v>#REF!</v>
      </c>
      <c r="T252" s="688" t="s">
        <v>1845</v>
      </c>
      <c r="U252" s="694">
        <v>5000</v>
      </c>
      <c r="V252" s="688" t="s">
        <v>886</v>
      </c>
      <c r="W252" s="695">
        <v>34335</v>
      </c>
      <c r="X252" s="696" t="s">
        <v>1168</v>
      </c>
      <c r="Y252" s="688" t="s">
        <v>1846</v>
      </c>
      <c r="Z252" s="688" t="s">
        <v>1847</v>
      </c>
      <c r="AA252" s="688" t="s">
        <v>891</v>
      </c>
      <c r="AB252" s="688" t="s">
        <v>891</v>
      </c>
      <c r="AC252" s="688"/>
      <c r="AD252" s="688"/>
      <c r="AE252" s="689">
        <v>5972721.5099999998</v>
      </c>
      <c r="AF252" s="693">
        <v>14.11</v>
      </c>
      <c r="AG252" s="688" t="s">
        <v>891</v>
      </c>
      <c r="AH252" s="693">
        <v>14.11</v>
      </c>
      <c r="AI252" s="697" t="s">
        <v>1168</v>
      </c>
      <c r="AJ252" s="698" t="s">
        <v>1848</v>
      </c>
      <c r="AK252" s="699">
        <f t="shared" ref="AK252:AK258" si="44">G252*600</f>
        <v>25452</v>
      </c>
      <c r="AL252" s="685" t="s">
        <v>160</v>
      </c>
      <c r="AM252" s="699">
        <v>2500</v>
      </c>
      <c r="AN252" s="699">
        <v>1000</v>
      </c>
    </row>
    <row r="253" spans="1:40" ht="15.75" customHeight="1" x14ac:dyDescent="0.3">
      <c r="A253" s="669" t="s">
        <v>1849</v>
      </c>
      <c r="B253" s="686">
        <f t="shared" si="40"/>
        <v>3</v>
      </c>
      <c r="C253" s="687">
        <f t="shared" si="38"/>
        <v>252</v>
      </c>
      <c r="D253" s="688">
        <v>100</v>
      </c>
      <c r="E253" s="688">
        <v>178</v>
      </c>
      <c r="F253" s="689"/>
      <c r="G253" s="689">
        <v>65.16</v>
      </c>
      <c r="H253" s="690">
        <v>0.96599999999999997</v>
      </c>
      <c r="I253" s="691">
        <f t="shared" si="41"/>
        <v>0</v>
      </c>
      <c r="J253" s="692">
        <f t="shared" si="42"/>
        <v>0</v>
      </c>
      <c r="K253" s="692">
        <v>0</v>
      </c>
      <c r="L253" s="692">
        <f t="shared" si="43"/>
        <v>0</v>
      </c>
      <c r="M253" s="693">
        <v>2.54</v>
      </c>
      <c r="N253" s="693">
        <v>0</v>
      </c>
      <c r="O253" s="691">
        <f t="shared" si="34"/>
        <v>0</v>
      </c>
      <c r="P253" s="688" t="s">
        <v>1845</v>
      </c>
      <c r="Q253" s="694">
        <v>5000</v>
      </c>
      <c r="R253" s="688" t="s">
        <v>886</v>
      </c>
      <c r="S253" s="688" t="e">
        <f>+#REF!</f>
        <v>#REF!</v>
      </c>
      <c r="T253" s="688" t="s">
        <v>1845</v>
      </c>
      <c r="U253" s="694">
        <v>5000</v>
      </c>
      <c r="V253" s="688" t="s">
        <v>886</v>
      </c>
      <c r="W253" s="695">
        <v>34335</v>
      </c>
      <c r="X253" s="696" t="s">
        <v>1168</v>
      </c>
      <c r="Y253" s="688" t="s">
        <v>1850</v>
      </c>
      <c r="Z253" s="688" t="s">
        <v>1851</v>
      </c>
      <c r="AA253" s="688" t="s">
        <v>891</v>
      </c>
      <c r="AB253" s="688" t="s">
        <v>891</v>
      </c>
      <c r="AC253" s="688"/>
      <c r="AD253" s="688"/>
      <c r="AE253" s="689">
        <v>6145073.3300000001</v>
      </c>
      <c r="AF253" s="693">
        <v>14.51</v>
      </c>
      <c r="AG253" s="688" t="s">
        <v>891</v>
      </c>
      <c r="AH253" s="693">
        <v>14.51</v>
      </c>
      <c r="AI253" s="697" t="s">
        <v>1168</v>
      </c>
      <c r="AJ253" s="698" t="s">
        <v>1852</v>
      </c>
      <c r="AK253" s="699">
        <f t="shared" si="44"/>
        <v>39096</v>
      </c>
      <c r="AL253" s="685" t="s">
        <v>160</v>
      </c>
      <c r="AM253" s="699">
        <v>2500</v>
      </c>
      <c r="AN253" s="699">
        <v>1000</v>
      </c>
    </row>
    <row r="254" spans="1:40" ht="15.75" customHeight="1" x14ac:dyDescent="0.3">
      <c r="A254" s="669" t="s">
        <v>1853</v>
      </c>
      <c r="B254" s="686">
        <f t="shared" si="40"/>
        <v>4</v>
      </c>
      <c r="C254" s="687">
        <f t="shared" si="38"/>
        <v>253</v>
      </c>
      <c r="D254" s="688">
        <v>100</v>
      </c>
      <c r="E254" s="688">
        <v>176</v>
      </c>
      <c r="F254" s="689"/>
      <c r="G254" s="689">
        <v>69.53</v>
      </c>
      <c r="H254" s="690">
        <v>0.96599999999999997</v>
      </c>
      <c r="I254" s="691">
        <f t="shared" si="41"/>
        <v>0</v>
      </c>
      <c r="J254" s="692">
        <f t="shared" si="42"/>
        <v>0</v>
      </c>
      <c r="K254" s="692">
        <v>0</v>
      </c>
      <c r="L254" s="692">
        <f t="shared" si="43"/>
        <v>0</v>
      </c>
      <c r="M254" s="693">
        <v>2.54</v>
      </c>
      <c r="N254" s="693">
        <v>0</v>
      </c>
      <c r="O254" s="691">
        <f t="shared" si="34"/>
        <v>0</v>
      </c>
      <c r="P254" s="688" t="s">
        <v>1845</v>
      </c>
      <c r="Q254" s="694">
        <v>5000</v>
      </c>
      <c r="R254" s="688" t="s">
        <v>886</v>
      </c>
      <c r="S254" s="688" t="e">
        <f>+#REF!</f>
        <v>#REF!</v>
      </c>
      <c r="T254" s="688" t="s">
        <v>1845</v>
      </c>
      <c r="U254" s="694">
        <v>5000</v>
      </c>
      <c r="V254" s="688" t="s">
        <v>886</v>
      </c>
      <c r="W254" s="695">
        <v>34335</v>
      </c>
      <c r="X254" s="696" t="s">
        <v>1168</v>
      </c>
      <c r="Y254" s="688" t="s">
        <v>1854</v>
      </c>
      <c r="Z254" s="688" t="s">
        <v>1855</v>
      </c>
      <c r="AA254" s="688" t="s">
        <v>891</v>
      </c>
      <c r="AB254" s="688" t="s">
        <v>891</v>
      </c>
      <c r="AC254" s="688"/>
      <c r="AD254" s="688"/>
      <c r="AE254" s="689">
        <v>7362032</v>
      </c>
      <c r="AF254" s="693">
        <v>13.99</v>
      </c>
      <c r="AG254" s="688" t="s">
        <v>891</v>
      </c>
      <c r="AH254" s="693">
        <v>13.99</v>
      </c>
      <c r="AI254" s="697" t="s">
        <v>1168</v>
      </c>
      <c r="AJ254" s="698" t="s">
        <v>1856</v>
      </c>
      <c r="AK254" s="699">
        <f t="shared" si="44"/>
        <v>41718</v>
      </c>
      <c r="AL254" s="685" t="s">
        <v>160</v>
      </c>
      <c r="AM254" s="699">
        <v>2500</v>
      </c>
      <c r="AN254" s="699">
        <v>1000</v>
      </c>
    </row>
    <row r="255" spans="1:40" ht="15.75" customHeight="1" x14ac:dyDescent="0.3">
      <c r="A255" s="669" t="s">
        <v>1857</v>
      </c>
      <c r="B255" s="686">
        <f t="shared" si="40"/>
        <v>5</v>
      </c>
      <c r="C255" s="687">
        <f t="shared" si="38"/>
        <v>254</v>
      </c>
      <c r="D255" s="688">
        <v>100</v>
      </c>
      <c r="E255" s="688">
        <v>202</v>
      </c>
      <c r="F255" s="689"/>
      <c r="G255" s="689">
        <v>30.58</v>
      </c>
      <c r="H255" s="690">
        <v>1.0569999999999999</v>
      </c>
      <c r="I255" s="691">
        <f t="shared" si="41"/>
        <v>0</v>
      </c>
      <c r="J255" s="692">
        <f t="shared" si="42"/>
        <v>0</v>
      </c>
      <c r="K255" s="692">
        <v>0</v>
      </c>
      <c r="L255" s="692">
        <f t="shared" si="43"/>
        <v>0</v>
      </c>
      <c r="M255" s="693">
        <v>2.54</v>
      </c>
      <c r="N255" s="693">
        <v>0</v>
      </c>
      <c r="O255" s="691">
        <f t="shared" si="34"/>
        <v>0</v>
      </c>
      <c r="P255" s="688" t="s">
        <v>1845</v>
      </c>
      <c r="Q255" s="694">
        <v>5000</v>
      </c>
      <c r="R255" s="688" t="s">
        <v>886</v>
      </c>
      <c r="S255" s="688" t="e">
        <f>+#REF!</f>
        <v>#REF!</v>
      </c>
      <c r="T255" s="688" t="s">
        <v>1845</v>
      </c>
      <c r="U255" s="694">
        <v>5000</v>
      </c>
      <c r="V255" s="688" t="s">
        <v>886</v>
      </c>
      <c r="W255" s="695">
        <v>34335</v>
      </c>
      <c r="X255" s="696" t="s">
        <v>1168</v>
      </c>
      <c r="Y255" s="688" t="s">
        <v>1858</v>
      </c>
      <c r="Z255" s="688" t="s">
        <v>1859</v>
      </c>
      <c r="AA255" s="688" t="s">
        <v>891</v>
      </c>
      <c r="AB255" s="688" t="s">
        <v>891</v>
      </c>
      <c r="AC255" s="688"/>
      <c r="AD255" s="688"/>
      <c r="AE255" s="689">
        <v>4058129.8</v>
      </c>
      <c r="AF255" s="693">
        <v>9.59</v>
      </c>
      <c r="AG255" s="688" t="s">
        <v>891</v>
      </c>
      <c r="AH255" s="693">
        <v>9.59</v>
      </c>
      <c r="AI255" s="697" t="s">
        <v>1168</v>
      </c>
      <c r="AJ255" s="698" t="s">
        <v>1860</v>
      </c>
      <c r="AK255" s="699">
        <f t="shared" si="44"/>
        <v>18348</v>
      </c>
      <c r="AL255" s="685" t="s">
        <v>160</v>
      </c>
      <c r="AM255" s="699">
        <v>2500</v>
      </c>
      <c r="AN255" s="699">
        <v>1000</v>
      </c>
    </row>
    <row r="256" spans="1:40" ht="15.75" customHeight="1" x14ac:dyDescent="0.3">
      <c r="A256" s="669" t="s">
        <v>1861</v>
      </c>
      <c r="B256" s="686">
        <f t="shared" si="40"/>
        <v>6</v>
      </c>
      <c r="C256" s="687">
        <f t="shared" si="38"/>
        <v>255</v>
      </c>
      <c r="D256" s="688">
        <v>100</v>
      </c>
      <c r="E256" s="688">
        <v>166</v>
      </c>
      <c r="F256" s="689"/>
      <c r="G256" s="689">
        <v>59.28</v>
      </c>
      <c r="H256" s="690">
        <v>1</v>
      </c>
      <c r="I256" s="691">
        <f t="shared" si="41"/>
        <v>0</v>
      </c>
      <c r="J256" s="692">
        <f t="shared" si="42"/>
        <v>0</v>
      </c>
      <c r="K256" s="692">
        <v>0</v>
      </c>
      <c r="L256" s="692">
        <f t="shared" si="43"/>
        <v>0</v>
      </c>
      <c r="M256" s="693">
        <v>2.54</v>
      </c>
      <c r="N256" s="693">
        <v>0</v>
      </c>
      <c r="O256" s="691">
        <f t="shared" si="34"/>
        <v>0</v>
      </c>
      <c r="P256" s="688" t="s">
        <v>1845</v>
      </c>
      <c r="Q256" s="694">
        <v>5000</v>
      </c>
      <c r="R256" s="688" t="s">
        <v>886</v>
      </c>
      <c r="S256" s="688" t="e">
        <f>+#REF!</f>
        <v>#REF!</v>
      </c>
      <c r="T256" s="688" t="s">
        <v>1845</v>
      </c>
      <c r="U256" s="694">
        <v>5000</v>
      </c>
      <c r="V256" s="688" t="s">
        <v>886</v>
      </c>
      <c r="W256" s="695">
        <v>34335</v>
      </c>
      <c r="X256" s="696" t="s">
        <v>1168</v>
      </c>
      <c r="Y256" s="688" t="s">
        <v>1862</v>
      </c>
      <c r="Z256" s="688" t="s">
        <v>1863</v>
      </c>
      <c r="AA256" s="688" t="s">
        <v>891</v>
      </c>
      <c r="AB256" s="688" t="s">
        <v>891</v>
      </c>
      <c r="AC256" s="688"/>
      <c r="AD256" s="688"/>
      <c r="AE256" s="689">
        <v>6116153.5300000003</v>
      </c>
      <c r="AF256" s="693">
        <v>14.45</v>
      </c>
      <c r="AG256" s="688" t="s">
        <v>891</v>
      </c>
      <c r="AH256" s="693">
        <v>14.45</v>
      </c>
      <c r="AI256" s="697" t="s">
        <v>1168</v>
      </c>
      <c r="AJ256" s="698" t="s">
        <v>1864</v>
      </c>
      <c r="AK256" s="699">
        <f t="shared" si="44"/>
        <v>35568</v>
      </c>
      <c r="AL256" s="685" t="s">
        <v>160</v>
      </c>
      <c r="AM256" s="699">
        <v>2500</v>
      </c>
      <c r="AN256" s="699">
        <v>1000</v>
      </c>
    </row>
    <row r="257" spans="1:40" ht="15.75" customHeight="1" x14ac:dyDescent="0.3">
      <c r="B257" s="686"/>
      <c r="C257" s="687">
        <v>256</v>
      </c>
      <c r="D257" s="688"/>
      <c r="E257" s="688"/>
      <c r="F257" s="689"/>
      <c r="G257" s="689">
        <v>69.28</v>
      </c>
      <c r="H257" s="690"/>
      <c r="I257" s="691"/>
      <c r="J257" s="692"/>
      <c r="K257" s="692"/>
      <c r="L257" s="692"/>
      <c r="M257" s="693"/>
      <c r="N257" s="693"/>
      <c r="O257" s="691"/>
      <c r="P257" s="688" t="s">
        <v>1845</v>
      </c>
      <c r="Q257" s="694"/>
      <c r="R257" s="688"/>
      <c r="S257" s="688" t="e">
        <f>+#REF!</f>
        <v>#REF!</v>
      </c>
      <c r="T257" s="688"/>
      <c r="U257" s="694"/>
      <c r="V257" s="688"/>
      <c r="W257" s="695"/>
      <c r="X257" s="696"/>
      <c r="Y257" s="688"/>
      <c r="Z257" s="688"/>
      <c r="AA257" s="688"/>
      <c r="AB257" s="688"/>
      <c r="AC257" s="688"/>
      <c r="AD257" s="688"/>
      <c r="AE257" s="689"/>
      <c r="AF257" s="693"/>
      <c r="AG257" s="688"/>
      <c r="AH257" s="693"/>
      <c r="AI257" s="697">
        <v>1922</v>
      </c>
      <c r="AJ257" s="698" t="s">
        <v>1865</v>
      </c>
      <c r="AK257" s="699">
        <f t="shared" si="44"/>
        <v>41568</v>
      </c>
      <c r="AL257" s="685" t="s">
        <v>160</v>
      </c>
      <c r="AM257" s="699">
        <v>2500</v>
      </c>
      <c r="AN257" s="699">
        <v>1000</v>
      </c>
    </row>
    <row r="258" spans="1:40" ht="15.75" customHeight="1" x14ac:dyDescent="0.3">
      <c r="B258" s="686"/>
      <c r="C258" s="687">
        <v>257</v>
      </c>
      <c r="D258" s="688"/>
      <c r="E258" s="688"/>
      <c r="F258" s="689"/>
      <c r="G258" s="689">
        <v>38.15</v>
      </c>
      <c r="H258" s="690"/>
      <c r="I258" s="691"/>
      <c r="J258" s="692"/>
      <c r="K258" s="692"/>
      <c r="L258" s="692"/>
      <c r="M258" s="693"/>
      <c r="N258" s="693"/>
      <c r="O258" s="691"/>
      <c r="P258" s="688" t="s">
        <v>1845</v>
      </c>
      <c r="Q258" s="694"/>
      <c r="R258" s="688"/>
      <c r="S258" s="688"/>
      <c r="T258" s="688"/>
      <c r="U258" s="694"/>
      <c r="V258" s="688"/>
      <c r="W258" s="695"/>
      <c r="X258" s="696"/>
      <c r="Y258" s="688"/>
      <c r="Z258" s="688"/>
      <c r="AA258" s="688"/>
      <c r="AB258" s="688"/>
      <c r="AC258" s="688"/>
      <c r="AD258" s="688"/>
      <c r="AE258" s="689"/>
      <c r="AF258" s="693"/>
      <c r="AG258" s="688"/>
      <c r="AH258" s="693"/>
      <c r="AI258" s="697">
        <v>1922</v>
      </c>
      <c r="AJ258" s="698" t="s">
        <v>1866</v>
      </c>
      <c r="AK258" s="699">
        <f t="shared" si="44"/>
        <v>22890</v>
      </c>
      <c r="AM258" s="699">
        <v>2500</v>
      </c>
      <c r="AN258" s="699">
        <v>1000</v>
      </c>
    </row>
    <row r="259" spans="1:40" ht="15.75" customHeight="1" x14ac:dyDescent="0.3">
      <c r="A259" s="669" t="s">
        <v>1867</v>
      </c>
      <c r="B259" s="686">
        <f>+B256+1</f>
        <v>7</v>
      </c>
      <c r="C259" s="687">
        <v>258</v>
      </c>
      <c r="D259" s="688">
        <v>100</v>
      </c>
      <c r="E259" s="688">
        <v>297</v>
      </c>
      <c r="F259" s="689"/>
      <c r="G259" s="689">
        <v>68.63</v>
      </c>
      <c r="H259" s="690">
        <v>1</v>
      </c>
      <c r="I259" s="691">
        <f t="shared" si="41"/>
        <v>0</v>
      </c>
      <c r="J259" s="692">
        <f t="shared" si="42"/>
        <v>0</v>
      </c>
      <c r="K259" s="692">
        <v>0</v>
      </c>
      <c r="L259" s="692">
        <f t="shared" si="43"/>
        <v>0</v>
      </c>
      <c r="M259" s="693">
        <v>5.08</v>
      </c>
      <c r="N259" s="693"/>
      <c r="O259" s="691">
        <f t="shared" si="34"/>
        <v>0</v>
      </c>
      <c r="P259" s="688" t="s">
        <v>1868</v>
      </c>
      <c r="Q259" s="694">
        <v>5000</v>
      </c>
      <c r="R259" s="688" t="s">
        <v>886</v>
      </c>
      <c r="S259" s="688" t="e">
        <f>+#REF!</f>
        <v>#REF!</v>
      </c>
      <c r="T259" s="688" t="s">
        <v>1868</v>
      </c>
      <c r="U259" s="694">
        <v>5000</v>
      </c>
      <c r="V259" s="688" t="s">
        <v>886</v>
      </c>
      <c r="W259" s="695">
        <v>36682</v>
      </c>
      <c r="X259" s="696" t="s">
        <v>1869</v>
      </c>
      <c r="Y259" s="688" t="s">
        <v>1870</v>
      </c>
      <c r="Z259" s="688" t="s">
        <v>1871</v>
      </c>
      <c r="AA259" s="688" t="s">
        <v>891</v>
      </c>
      <c r="AB259" s="688" t="s">
        <v>891</v>
      </c>
      <c r="AC259" s="688"/>
      <c r="AD259" s="688"/>
      <c r="AE259" s="689">
        <v>12668714.359999999</v>
      </c>
      <c r="AF259" s="693">
        <v>10.17</v>
      </c>
      <c r="AG259" s="688" t="s">
        <v>891</v>
      </c>
      <c r="AH259" s="693">
        <v>10.17</v>
      </c>
      <c r="AI259" s="697" t="s">
        <v>1869</v>
      </c>
      <c r="AJ259" s="698" t="s">
        <v>1872</v>
      </c>
      <c r="AK259" s="699">
        <f>G259*1100</f>
        <v>75493</v>
      </c>
      <c r="AL259" s="685" t="s">
        <v>159</v>
      </c>
      <c r="AM259" s="699">
        <v>2500</v>
      </c>
      <c r="AN259" s="699">
        <v>1000</v>
      </c>
    </row>
    <row r="260" spans="1:40" ht="15.75" customHeight="1" x14ac:dyDescent="0.3">
      <c r="A260" s="669" t="s">
        <v>1873</v>
      </c>
      <c r="B260" s="686">
        <f t="shared" si="40"/>
        <v>8</v>
      </c>
      <c r="C260" s="687">
        <f t="shared" si="38"/>
        <v>259</v>
      </c>
      <c r="D260" s="688">
        <v>100</v>
      </c>
      <c r="E260" s="688">
        <v>297</v>
      </c>
      <c r="F260" s="689"/>
      <c r="G260" s="689">
        <v>42.44</v>
      </c>
      <c r="H260" s="690">
        <v>1.024</v>
      </c>
      <c r="I260" s="691">
        <f t="shared" si="41"/>
        <v>0</v>
      </c>
      <c r="J260" s="692">
        <f t="shared" si="42"/>
        <v>0</v>
      </c>
      <c r="K260" s="692">
        <v>0</v>
      </c>
      <c r="L260" s="692">
        <f t="shared" si="43"/>
        <v>0</v>
      </c>
      <c r="M260" s="693">
        <v>5.08</v>
      </c>
      <c r="N260" s="693">
        <v>0</v>
      </c>
      <c r="O260" s="691">
        <f t="shared" si="34"/>
        <v>0</v>
      </c>
      <c r="P260" s="688" t="s">
        <v>1868</v>
      </c>
      <c r="Q260" s="694">
        <v>5000</v>
      </c>
      <c r="R260" s="688" t="s">
        <v>886</v>
      </c>
      <c r="S260" s="688" t="e">
        <f>+#REF!</f>
        <v>#REF!</v>
      </c>
      <c r="T260" s="688" t="s">
        <v>1868</v>
      </c>
      <c r="U260" s="694">
        <v>5000</v>
      </c>
      <c r="V260" s="688" t="s">
        <v>886</v>
      </c>
      <c r="W260" s="695">
        <v>36682</v>
      </c>
      <c r="X260" s="696" t="s">
        <v>1869</v>
      </c>
      <c r="Y260" s="688" t="s">
        <v>1874</v>
      </c>
      <c r="Z260" s="688" t="s">
        <v>1875</v>
      </c>
      <c r="AA260" s="688" t="s">
        <v>891</v>
      </c>
      <c r="AB260" s="688" t="s">
        <v>891</v>
      </c>
      <c r="AC260" s="688"/>
      <c r="AD260" s="688"/>
      <c r="AE260" s="689">
        <v>8022207.2400000002</v>
      </c>
      <c r="AF260" s="693">
        <v>6.44</v>
      </c>
      <c r="AG260" s="688" t="s">
        <v>891</v>
      </c>
      <c r="AH260" s="693">
        <v>6.44</v>
      </c>
      <c r="AI260" s="697" t="s">
        <v>1869</v>
      </c>
      <c r="AJ260" s="698" t="s">
        <v>1876</v>
      </c>
      <c r="AK260" s="699">
        <f t="shared" ref="AK260:AK278" si="45">G260*1100</f>
        <v>46684</v>
      </c>
      <c r="AL260" s="685" t="s">
        <v>159</v>
      </c>
      <c r="AM260" s="699">
        <v>2500</v>
      </c>
      <c r="AN260" s="699">
        <v>1000</v>
      </c>
    </row>
    <row r="261" spans="1:40" ht="15.75" customHeight="1" x14ac:dyDescent="0.3">
      <c r="A261" s="669" t="s">
        <v>1877</v>
      </c>
      <c r="B261" s="686" t="e">
        <f>+#REF!+1</f>
        <v>#REF!</v>
      </c>
      <c r="C261" s="687">
        <f t="shared" si="38"/>
        <v>260</v>
      </c>
      <c r="D261" s="688">
        <v>100</v>
      </c>
      <c r="E261" s="688">
        <v>297</v>
      </c>
      <c r="F261" s="689"/>
      <c r="G261" s="689">
        <v>42.44</v>
      </c>
      <c r="H261" s="690">
        <v>1.024</v>
      </c>
      <c r="I261" s="691">
        <f t="shared" si="41"/>
        <v>0</v>
      </c>
      <c r="J261" s="692">
        <f t="shared" si="42"/>
        <v>0</v>
      </c>
      <c r="K261" s="692">
        <v>0</v>
      </c>
      <c r="L261" s="692">
        <f t="shared" si="43"/>
        <v>0</v>
      </c>
      <c r="M261" s="693">
        <v>1.91</v>
      </c>
      <c r="N261" s="693">
        <v>1.67</v>
      </c>
      <c r="O261" s="691">
        <f t="shared" si="34"/>
        <v>0</v>
      </c>
      <c r="P261" s="688" t="s">
        <v>1868</v>
      </c>
      <c r="Q261" s="694">
        <v>5000</v>
      </c>
      <c r="R261" s="688" t="s">
        <v>886</v>
      </c>
      <c r="S261" s="688" t="e">
        <f>+#REF!</f>
        <v>#REF!</v>
      </c>
      <c r="T261" s="688" t="s">
        <v>1868</v>
      </c>
      <c r="U261" s="694">
        <v>5000</v>
      </c>
      <c r="V261" s="688" t="s">
        <v>886</v>
      </c>
      <c r="W261" s="695">
        <v>36682</v>
      </c>
      <c r="X261" s="696" t="s">
        <v>1869</v>
      </c>
      <c r="Y261" s="688" t="s">
        <v>1878</v>
      </c>
      <c r="Z261" s="688" t="s">
        <v>1879</v>
      </c>
      <c r="AA261" s="688" t="s">
        <v>891</v>
      </c>
      <c r="AB261" s="688" t="s">
        <v>891</v>
      </c>
      <c r="AC261" s="688"/>
      <c r="AD261" s="688"/>
      <c r="AE261" s="689">
        <v>8022207.2400000002</v>
      </c>
      <c r="AF261" s="693">
        <v>6.44</v>
      </c>
      <c r="AG261" s="688" t="s">
        <v>891</v>
      </c>
      <c r="AH261" s="693">
        <v>6.44</v>
      </c>
      <c r="AI261" s="697" t="s">
        <v>1869</v>
      </c>
      <c r="AJ261" s="698" t="s">
        <v>1880</v>
      </c>
      <c r="AK261" s="699">
        <f t="shared" si="45"/>
        <v>46684</v>
      </c>
      <c r="AL261" s="685" t="s">
        <v>159</v>
      </c>
      <c r="AM261" s="699">
        <v>2500</v>
      </c>
      <c r="AN261" s="699">
        <v>1000</v>
      </c>
    </row>
    <row r="262" spans="1:40" x14ac:dyDescent="0.3">
      <c r="A262" s="669" t="s">
        <v>1881</v>
      </c>
      <c r="B262" s="686" t="e">
        <f t="shared" ref="B262:B269" si="46">+B261+1</f>
        <v>#REF!</v>
      </c>
      <c r="C262" s="687">
        <f t="shared" si="38"/>
        <v>261</v>
      </c>
      <c r="D262" s="688">
        <v>100</v>
      </c>
      <c r="E262" s="688">
        <v>297</v>
      </c>
      <c r="F262" s="689"/>
      <c r="G262" s="689">
        <v>69.239999999999995</v>
      </c>
      <c r="H262" s="690">
        <v>1</v>
      </c>
      <c r="I262" s="691">
        <f t="shared" si="41"/>
        <v>0</v>
      </c>
      <c r="J262" s="692">
        <f t="shared" si="42"/>
        <v>0</v>
      </c>
      <c r="K262" s="692">
        <v>0</v>
      </c>
      <c r="L262" s="692">
        <f t="shared" si="43"/>
        <v>0</v>
      </c>
      <c r="M262" s="693">
        <v>5.08</v>
      </c>
      <c r="N262" s="693">
        <v>0</v>
      </c>
      <c r="O262" s="691">
        <f t="shared" si="34"/>
        <v>0</v>
      </c>
      <c r="P262" s="688" t="s">
        <v>1868</v>
      </c>
      <c r="Q262" s="694">
        <v>5000</v>
      </c>
      <c r="R262" s="688" t="s">
        <v>886</v>
      </c>
      <c r="S262" s="688" t="e">
        <f>+#REF!</f>
        <v>#REF!</v>
      </c>
      <c r="T262" s="688" t="s">
        <v>1868</v>
      </c>
      <c r="U262" s="694">
        <v>5000</v>
      </c>
      <c r="V262" s="688" t="s">
        <v>886</v>
      </c>
      <c r="W262" s="695">
        <v>36682</v>
      </c>
      <c r="X262" s="696" t="s">
        <v>1869</v>
      </c>
      <c r="Y262" s="688" t="s">
        <v>1882</v>
      </c>
      <c r="Z262" s="688" t="s">
        <v>1883</v>
      </c>
      <c r="AA262" s="688" t="s">
        <v>891</v>
      </c>
      <c r="AB262" s="688" t="s">
        <v>891</v>
      </c>
      <c r="AC262" s="688"/>
      <c r="AD262" s="688"/>
      <c r="AE262" s="689">
        <v>12781316.949999999</v>
      </c>
      <c r="AF262" s="693">
        <v>10.26</v>
      </c>
      <c r="AG262" s="688" t="s">
        <v>891</v>
      </c>
      <c r="AH262" s="693">
        <v>10.26</v>
      </c>
      <c r="AI262" s="697" t="s">
        <v>1869</v>
      </c>
      <c r="AJ262" s="698" t="s">
        <v>1884</v>
      </c>
      <c r="AK262" s="699">
        <f t="shared" si="45"/>
        <v>76164</v>
      </c>
      <c r="AL262" s="685" t="s">
        <v>159</v>
      </c>
      <c r="AM262" s="699">
        <v>2500</v>
      </c>
      <c r="AN262" s="699">
        <v>1000</v>
      </c>
    </row>
    <row r="263" spans="1:40" x14ac:dyDescent="0.3">
      <c r="A263" s="669" t="s">
        <v>1885</v>
      </c>
      <c r="B263" s="686" t="e">
        <f t="shared" si="46"/>
        <v>#REF!</v>
      </c>
      <c r="C263" s="687">
        <f t="shared" si="38"/>
        <v>262</v>
      </c>
      <c r="D263" s="688">
        <v>100</v>
      </c>
      <c r="E263" s="688">
        <v>297</v>
      </c>
      <c r="F263" s="689"/>
      <c r="G263" s="689">
        <v>41.95</v>
      </c>
      <c r="H263" s="690">
        <v>1.024</v>
      </c>
      <c r="I263" s="691">
        <f t="shared" si="41"/>
        <v>0</v>
      </c>
      <c r="J263" s="692">
        <f t="shared" si="42"/>
        <v>0</v>
      </c>
      <c r="K263" s="692">
        <v>0</v>
      </c>
      <c r="L263" s="692">
        <f t="shared" si="43"/>
        <v>0</v>
      </c>
      <c r="M263" s="693">
        <v>5.08</v>
      </c>
      <c r="N263" s="693">
        <v>0</v>
      </c>
      <c r="O263" s="691">
        <f t="shared" si="34"/>
        <v>0</v>
      </c>
      <c r="P263" s="688" t="s">
        <v>1868</v>
      </c>
      <c r="Q263" s="694">
        <v>5000</v>
      </c>
      <c r="R263" s="688" t="s">
        <v>886</v>
      </c>
      <c r="S263" s="688" t="e">
        <f>+#REF!</f>
        <v>#REF!</v>
      </c>
      <c r="T263" s="688" t="s">
        <v>1868</v>
      </c>
      <c r="U263" s="694">
        <v>5000</v>
      </c>
      <c r="V263" s="688" t="s">
        <v>886</v>
      </c>
      <c r="W263" s="695">
        <v>36682</v>
      </c>
      <c r="X263" s="696" t="s">
        <v>1869</v>
      </c>
      <c r="Y263" s="688" t="s">
        <v>1886</v>
      </c>
      <c r="Z263" s="688" t="s">
        <v>1887</v>
      </c>
      <c r="AA263" s="688" t="s">
        <v>891</v>
      </c>
      <c r="AB263" s="688" t="s">
        <v>891</v>
      </c>
      <c r="AC263" s="688"/>
      <c r="AD263" s="688"/>
      <c r="AE263" s="689">
        <v>7929585.1500000004</v>
      </c>
      <c r="AF263" s="693">
        <v>6.37</v>
      </c>
      <c r="AG263" s="688" t="s">
        <v>891</v>
      </c>
      <c r="AH263" s="693">
        <v>6.37</v>
      </c>
      <c r="AI263" s="697" t="s">
        <v>1869</v>
      </c>
      <c r="AJ263" s="698" t="s">
        <v>1888</v>
      </c>
      <c r="AK263" s="699">
        <f t="shared" si="45"/>
        <v>46145</v>
      </c>
      <c r="AL263" s="685" t="s">
        <v>159</v>
      </c>
      <c r="AM263" s="699">
        <v>2500</v>
      </c>
      <c r="AN263" s="699">
        <v>1000</v>
      </c>
    </row>
    <row r="264" spans="1:40" x14ac:dyDescent="0.3">
      <c r="A264" s="669" t="s">
        <v>1889</v>
      </c>
      <c r="B264" s="686" t="e">
        <f t="shared" si="46"/>
        <v>#REF!</v>
      </c>
      <c r="C264" s="687">
        <f t="shared" si="38"/>
        <v>263</v>
      </c>
      <c r="D264" s="688">
        <v>100</v>
      </c>
      <c r="E264" s="688">
        <v>297</v>
      </c>
      <c r="F264" s="689"/>
      <c r="G264" s="689">
        <v>41.95</v>
      </c>
      <c r="H264" s="690">
        <v>1.024</v>
      </c>
      <c r="I264" s="691">
        <f t="shared" si="41"/>
        <v>0</v>
      </c>
      <c r="J264" s="692">
        <f t="shared" si="42"/>
        <v>0</v>
      </c>
      <c r="K264" s="692">
        <v>11381</v>
      </c>
      <c r="L264" s="692">
        <f t="shared" si="43"/>
        <v>-11381</v>
      </c>
      <c r="M264" s="693">
        <v>1.91</v>
      </c>
      <c r="N264" s="693">
        <v>1.67</v>
      </c>
      <c r="O264" s="691">
        <f t="shared" si="34"/>
        <v>0</v>
      </c>
      <c r="P264" s="688" t="s">
        <v>1868</v>
      </c>
      <c r="Q264" s="694">
        <v>5000</v>
      </c>
      <c r="R264" s="688" t="s">
        <v>886</v>
      </c>
      <c r="S264" s="688" t="e">
        <f>+#REF!</f>
        <v>#REF!</v>
      </c>
      <c r="T264" s="688" t="s">
        <v>1868</v>
      </c>
      <c r="U264" s="694">
        <v>5000</v>
      </c>
      <c r="V264" s="688" t="s">
        <v>886</v>
      </c>
      <c r="W264" s="695">
        <v>36713</v>
      </c>
      <c r="X264" s="696" t="s">
        <v>1869</v>
      </c>
      <c r="Y264" s="688" t="s">
        <v>1890</v>
      </c>
      <c r="Z264" s="688" t="s">
        <v>1891</v>
      </c>
      <c r="AA264" s="688" t="s">
        <v>891</v>
      </c>
      <c r="AB264" s="688" t="s">
        <v>891</v>
      </c>
      <c r="AC264" s="688"/>
      <c r="AD264" s="688"/>
      <c r="AE264" s="689">
        <v>7929585.1500000004</v>
      </c>
      <c r="AF264" s="693">
        <v>6.37</v>
      </c>
      <c r="AG264" s="688" t="s">
        <v>891</v>
      </c>
      <c r="AH264" s="693">
        <v>6.37</v>
      </c>
      <c r="AI264" s="697" t="s">
        <v>1869</v>
      </c>
      <c r="AJ264" s="698" t="s">
        <v>1892</v>
      </c>
      <c r="AK264" s="699">
        <f t="shared" si="45"/>
        <v>46145</v>
      </c>
      <c r="AL264" s="685" t="s">
        <v>159</v>
      </c>
      <c r="AM264" s="699">
        <v>2500</v>
      </c>
      <c r="AN264" s="699">
        <v>1000</v>
      </c>
    </row>
    <row r="265" spans="1:40" x14ac:dyDescent="0.3">
      <c r="A265" s="669" t="s">
        <v>1893</v>
      </c>
      <c r="B265" s="686" t="e">
        <f t="shared" si="46"/>
        <v>#REF!</v>
      </c>
      <c r="C265" s="687">
        <f t="shared" si="38"/>
        <v>264</v>
      </c>
      <c r="D265" s="688">
        <v>100</v>
      </c>
      <c r="E265" s="688">
        <v>297</v>
      </c>
      <c r="F265" s="689"/>
      <c r="G265" s="689">
        <v>42.8</v>
      </c>
      <c r="H265" s="690">
        <v>1.024</v>
      </c>
      <c r="I265" s="691">
        <f t="shared" si="41"/>
        <v>0</v>
      </c>
      <c r="J265" s="692">
        <f t="shared" si="42"/>
        <v>0</v>
      </c>
      <c r="K265" s="692">
        <v>11381</v>
      </c>
      <c r="L265" s="692">
        <f t="shared" si="43"/>
        <v>-11381</v>
      </c>
      <c r="M265" s="693">
        <v>1.91</v>
      </c>
      <c r="N265" s="693">
        <v>1.67</v>
      </c>
      <c r="O265" s="691">
        <f t="shared" ref="O265:O281" si="47">ROUND(+I265*N265/(12*100),0)</f>
        <v>0</v>
      </c>
      <c r="P265" s="688" t="s">
        <v>1868</v>
      </c>
      <c r="Q265" s="694">
        <v>5000</v>
      </c>
      <c r="R265" s="688" t="s">
        <v>886</v>
      </c>
      <c r="S265" s="688" t="e">
        <f>+#REF!</f>
        <v>#REF!</v>
      </c>
      <c r="T265" s="688" t="str">
        <f>+P265</f>
        <v>STRELIŠKA 14</v>
      </c>
      <c r="U265" s="694">
        <v>5000</v>
      </c>
      <c r="V265" s="688" t="s">
        <v>886</v>
      </c>
      <c r="W265" s="695">
        <v>37790</v>
      </c>
      <c r="X265" s="696" t="s">
        <v>1869</v>
      </c>
      <c r="Y265" s="688" t="s">
        <v>1894</v>
      </c>
      <c r="Z265" s="688" t="s">
        <v>1895</v>
      </c>
      <c r="AA265" s="688" t="s">
        <v>891</v>
      </c>
      <c r="AB265" s="688" t="s">
        <v>891</v>
      </c>
      <c r="AC265" s="688"/>
      <c r="AD265" s="688"/>
      <c r="AE265" s="689">
        <v>8090256.1299999999</v>
      </c>
      <c r="AF265" s="693">
        <v>6.5</v>
      </c>
      <c r="AG265" s="688" t="s">
        <v>891</v>
      </c>
      <c r="AH265" s="693">
        <v>6.5</v>
      </c>
      <c r="AI265" s="697" t="s">
        <v>1869</v>
      </c>
      <c r="AJ265" s="698" t="s">
        <v>1896</v>
      </c>
      <c r="AK265" s="699">
        <f t="shared" si="45"/>
        <v>47080</v>
      </c>
      <c r="AL265" s="685" t="s">
        <v>159</v>
      </c>
      <c r="AM265" s="699">
        <v>2500</v>
      </c>
      <c r="AN265" s="699">
        <v>1000</v>
      </c>
    </row>
    <row r="266" spans="1:40" x14ac:dyDescent="0.3">
      <c r="A266" s="669" t="s">
        <v>1897</v>
      </c>
      <c r="B266" s="686" t="e">
        <f t="shared" si="46"/>
        <v>#REF!</v>
      </c>
      <c r="C266" s="687">
        <f t="shared" si="38"/>
        <v>265</v>
      </c>
      <c r="D266" s="688">
        <v>100</v>
      </c>
      <c r="E266" s="688">
        <v>297</v>
      </c>
      <c r="F266" s="689"/>
      <c r="G266" s="689">
        <v>69.239999999999995</v>
      </c>
      <c r="H266" s="690">
        <v>1</v>
      </c>
      <c r="I266" s="691">
        <f t="shared" si="41"/>
        <v>0</v>
      </c>
      <c r="J266" s="692">
        <f t="shared" si="42"/>
        <v>0</v>
      </c>
      <c r="K266" s="692">
        <v>11381</v>
      </c>
      <c r="L266" s="692">
        <f t="shared" si="43"/>
        <v>-11381</v>
      </c>
      <c r="M266" s="693">
        <v>1.91</v>
      </c>
      <c r="N266" s="693">
        <v>1.67</v>
      </c>
      <c r="O266" s="691">
        <f t="shared" si="47"/>
        <v>0</v>
      </c>
      <c r="P266" s="688" t="s">
        <v>1868</v>
      </c>
      <c r="Q266" s="694">
        <v>5000</v>
      </c>
      <c r="R266" s="688" t="s">
        <v>886</v>
      </c>
      <c r="S266" s="688" t="e">
        <f>+#REF!</f>
        <v>#REF!</v>
      </c>
      <c r="T266" s="688" t="s">
        <v>1868</v>
      </c>
      <c r="U266" s="694">
        <v>5000</v>
      </c>
      <c r="V266" s="688" t="s">
        <v>886</v>
      </c>
      <c r="W266" s="695">
        <v>36682</v>
      </c>
      <c r="X266" s="696" t="s">
        <v>1869</v>
      </c>
      <c r="Y266" s="688" t="s">
        <v>1898</v>
      </c>
      <c r="Z266" s="688" t="s">
        <v>1899</v>
      </c>
      <c r="AA266" s="688" t="s">
        <v>891</v>
      </c>
      <c r="AB266" s="688" t="s">
        <v>891</v>
      </c>
      <c r="AC266" s="688"/>
      <c r="AD266" s="688"/>
      <c r="AE266" s="689">
        <v>12781316.949999999</v>
      </c>
      <c r="AF266" s="693">
        <v>10.26</v>
      </c>
      <c r="AG266" s="688" t="s">
        <v>891</v>
      </c>
      <c r="AH266" s="693">
        <v>10.26</v>
      </c>
      <c r="AI266" s="697" t="s">
        <v>1869</v>
      </c>
      <c r="AJ266" s="698" t="s">
        <v>1900</v>
      </c>
      <c r="AK266" s="699">
        <f t="shared" si="45"/>
        <v>76164</v>
      </c>
      <c r="AL266" s="685" t="s">
        <v>159</v>
      </c>
      <c r="AM266" s="699">
        <v>2500</v>
      </c>
      <c r="AN266" s="699">
        <v>1000</v>
      </c>
    </row>
    <row r="267" spans="1:40" x14ac:dyDescent="0.3">
      <c r="A267" s="669" t="s">
        <v>1901</v>
      </c>
      <c r="B267" s="686" t="e">
        <f t="shared" si="46"/>
        <v>#REF!</v>
      </c>
      <c r="C267" s="687">
        <f t="shared" si="38"/>
        <v>266</v>
      </c>
      <c r="D267" s="688">
        <v>100</v>
      </c>
      <c r="E267" s="688">
        <v>297</v>
      </c>
      <c r="F267" s="689"/>
      <c r="G267" s="689">
        <v>69.239999999999995</v>
      </c>
      <c r="H267" s="690">
        <v>1</v>
      </c>
      <c r="I267" s="691">
        <f t="shared" si="41"/>
        <v>0</v>
      </c>
      <c r="J267" s="692">
        <f t="shared" si="42"/>
        <v>0</v>
      </c>
      <c r="K267" s="692">
        <v>0</v>
      </c>
      <c r="L267" s="692">
        <f t="shared" si="43"/>
        <v>0</v>
      </c>
      <c r="M267" s="693">
        <v>5.08</v>
      </c>
      <c r="N267" s="693">
        <v>0</v>
      </c>
      <c r="O267" s="691">
        <f t="shared" si="47"/>
        <v>0</v>
      </c>
      <c r="P267" s="688" t="s">
        <v>1868</v>
      </c>
      <c r="Q267" s="694">
        <v>5000</v>
      </c>
      <c r="R267" s="688" t="s">
        <v>886</v>
      </c>
      <c r="S267" s="688" t="e">
        <f>+#REF!</f>
        <v>#REF!</v>
      </c>
      <c r="T267" s="688" t="s">
        <v>1868</v>
      </c>
      <c r="U267" s="694">
        <v>5000</v>
      </c>
      <c r="V267" s="688" t="s">
        <v>886</v>
      </c>
      <c r="W267" s="695">
        <v>36682</v>
      </c>
      <c r="X267" s="696" t="s">
        <v>1869</v>
      </c>
      <c r="Y267" s="688" t="s">
        <v>1902</v>
      </c>
      <c r="Z267" s="688" t="s">
        <v>1903</v>
      </c>
      <c r="AA267" s="688" t="s">
        <v>891</v>
      </c>
      <c r="AB267" s="688" t="s">
        <v>891</v>
      </c>
      <c r="AC267" s="688"/>
      <c r="AD267" s="688"/>
      <c r="AE267" s="689">
        <v>12781316.949999999</v>
      </c>
      <c r="AF267" s="693">
        <v>10.26</v>
      </c>
      <c r="AG267" s="688" t="s">
        <v>891</v>
      </c>
      <c r="AH267" s="693">
        <v>10.26</v>
      </c>
      <c r="AI267" s="697" t="s">
        <v>1869</v>
      </c>
      <c r="AJ267" s="698" t="s">
        <v>1904</v>
      </c>
      <c r="AK267" s="699">
        <f t="shared" si="45"/>
        <v>76164</v>
      </c>
      <c r="AL267" s="685" t="s">
        <v>159</v>
      </c>
      <c r="AM267" s="699">
        <v>2500</v>
      </c>
      <c r="AN267" s="699">
        <v>1000</v>
      </c>
    </row>
    <row r="268" spans="1:40" x14ac:dyDescent="0.3">
      <c r="A268" s="669">
        <v>54601</v>
      </c>
      <c r="B268" s="686" t="e">
        <f t="shared" si="46"/>
        <v>#REF!</v>
      </c>
      <c r="C268" s="687">
        <f t="shared" si="38"/>
        <v>267</v>
      </c>
      <c r="D268" s="688">
        <v>100</v>
      </c>
      <c r="E268" s="688">
        <v>297</v>
      </c>
      <c r="F268" s="689"/>
      <c r="G268" s="689">
        <v>42.8</v>
      </c>
      <c r="H268" s="690">
        <v>1.024</v>
      </c>
      <c r="I268" s="691">
        <f t="shared" si="41"/>
        <v>0</v>
      </c>
      <c r="J268" s="692">
        <f t="shared" si="42"/>
        <v>0</v>
      </c>
      <c r="K268" s="692">
        <v>0</v>
      </c>
      <c r="L268" s="692">
        <f t="shared" si="43"/>
        <v>0</v>
      </c>
      <c r="M268" s="693">
        <v>5.08</v>
      </c>
      <c r="N268" s="693">
        <v>0</v>
      </c>
      <c r="O268" s="691">
        <f t="shared" si="47"/>
        <v>0</v>
      </c>
      <c r="P268" s="688" t="s">
        <v>1868</v>
      </c>
      <c r="Q268" s="694">
        <v>5000</v>
      </c>
      <c r="R268" s="688" t="s">
        <v>886</v>
      </c>
      <c r="S268" s="688" t="e">
        <f>+#REF!</f>
        <v>#REF!</v>
      </c>
      <c r="T268" s="688" t="s">
        <v>1868</v>
      </c>
      <c r="U268" s="694">
        <v>5000</v>
      </c>
      <c r="V268" s="688" t="s">
        <v>886</v>
      </c>
      <c r="W268" s="695">
        <v>36682</v>
      </c>
      <c r="X268" s="696" t="s">
        <v>1869</v>
      </c>
      <c r="Y268" s="688" t="s">
        <v>1905</v>
      </c>
      <c r="Z268" s="688" t="s">
        <v>1906</v>
      </c>
      <c r="AA268" s="688" t="s">
        <v>891</v>
      </c>
      <c r="AB268" s="688" t="s">
        <v>891</v>
      </c>
      <c r="AC268" s="688"/>
      <c r="AD268" s="688"/>
      <c r="AE268" s="689">
        <v>8090256.1299999999</v>
      </c>
      <c r="AF268" s="693">
        <v>6.5</v>
      </c>
      <c r="AG268" s="688" t="s">
        <v>891</v>
      </c>
      <c r="AH268" s="693">
        <v>6.5</v>
      </c>
      <c r="AI268" s="697" t="s">
        <v>1869</v>
      </c>
      <c r="AJ268" s="698" t="s">
        <v>1907</v>
      </c>
      <c r="AK268" s="699">
        <f t="shared" si="45"/>
        <v>47080</v>
      </c>
      <c r="AL268" s="685" t="s">
        <v>159</v>
      </c>
      <c r="AM268" s="699">
        <v>2500</v>
      </c>
      <c r="AN268" s="699">
        <v>1000</v>
      </c>
    </row>
    <row r="269" spans="1:40" x14ac:dyDescent="0.3">
      <c r="A269" s="669" t="s">
        <v>1908</v>
      </c>
      <c r="B269" s="686" t="e">
        <f t="shared" si="46"/>
        <v>#REF!</v>
      </c>
      <c r="C269" s="687">
        <f t="shared" si="38"/>
        <v>268</v>
      </c>
      <c r="D269" s="688">
        <v>100</v>
      </c>
      <c r="E269" s="688">
        <v>250</v>
      </c>
      <c r="F269" s="689"/>
      <c r="G269" s="689">
        <v>68.63</v>
      </c>
      <c r="H269" s="690">
        <v>0.96599999999999997</v>
      </c>
      <c r="I269" s="691">
        <f t="shared" si="41"/>
        <v>0</v>
      </c>
      <c r="J269" s="692">
        <f t="shared" si="42"/>
        <v>0</v>
      </c>
      <c r="K269" s="692">
        <v>0</v>
      </c>
      <c r="L269" s="692">
        <f t="shared" si="43"/>
        <v>0</v>
      </c>
      <c r="M269" s="693">
        <v>3.81</v>
      </c>
      <c r="N269" s="693">
        <v>0</v>
      </c>
      <c r="O269" s="691">
        <f t="shared" si="47"/>
        <v>0</v>
      </c>
      <c r="P269" s="688" t="s">
        <v>1868</v>
      </c>
      <c r="Q269" s="694">
        <v>5250</v>
      </c>
      <c r="R269" s="688" t="s">
        <v>1490</v>
      </c>
      <c r="S269" s="688" t="e">
        <f>+#REF!</f>
        <v>#REF!</v>
      </c>
      <c r="T269" s="688" t="s">
        <v>1909</v>
      </c>
      <c r="U269" s="694">
        <v>5250</v>
      </c>
      <c r="V269" s="688" t="s">
        <v>1490</v>
      </c>
      <c r="W269" s="695">
        <v>37865</v>
      </c>
      <c r="X269" s="696" t="s">
        <v>973</v>
      </c>
      <c r="Y269" s="688" t="s">
        <v>1910</v>
      </c>
      <c r="Z269" s="688" t="s">
        <v>1911</v>
      </c>
      <c r="AA269" s="688" t="s">
        <v>891</v>
      </c>
      <c r="AB269" s="688" t="s">
        <v>891</v>
      </c>
      <c r="AC269" s="688"/>
      <c r="AD269" s="688"/>
      <c r="AE269" s="689">
        <v>10191755.710000001</v>
      </c>
      <c r="AF269" s="693">
        <v>0</v>
      </c>
      <c r="AG269" s="688" t="s">
        <v>891</v>
      </c>
      <c r="AH269" s="693">
        <v>0</v>
      </c>
      <c r="AI269" s="697">
        <v>2000</v>
      </c>
      <c r="AJ269" s="698" t="s">
        <v>1912</v>
      </c>
      <c r="AK269" s="699">
        <f t="shared" si="45"/>
        <v>75493</v>
      </c>
      <c r="AL269" s="685" t="s">
        <v>159</v>
      </c>
      <c r="AM269" s="699">
        <v>2500</v>
      </c>
      <c r="AN269" s="699">
        <v>1000</v>
      </c>
    </row>
    <row r="270" spans="1:40" x14ac:dyDescent="0.3">
      <c r="B270" s="686"/>
      <c r="C270" s="687">
        <v>269</v>
      </c>
      <c r="D270" s="688"/>
      <c r="E270" s="688"/>
      <c r="F270" s="689"/>
      <c r="G270" s="689">
        <v>45.24</v>
      </c>
      <c r="H270" s="690"/>
      <c r="I270" s="691"/>
      <c r="J270" s="692"/>
      <c r="K270" s="692"/>
      <c r="L270" s="692"/>
      <c r="M270" s="693"/>
      <c r="N270" s="693"/>
      <c r="O270" s="691"/>
      <c r="P270" s="688" t="s">
        <v>1913</v>
      </c>
      <c r="Q270" s="694"/>
      <c r="R270" s="688"/>
      <c r="S270" s="688" t="e">
        <f>+#REF!</f>
        <v>#REF!</v>
      </c>
      <c r="T270" s="688"/>
      <c r="U270" s="688"/>
      <c r="V270" s="688"/>
      <c r="W270" s="695"/>
      <c r="X270" s="696"/>
      <c r="Y270" s="688"/>
      <c r="Z270" s="688"/>
      <c r="AA270" s="688"/>
      <c r="AB270" s="688"/>
      <c r="AC270" s="688"/>
      <c r="AD270" s="688"/>
      <c r="AE270" s="689"/>
      <c r="AF270" s="693"/>
      <c r="AG270" s="688"/>
      <c r="AH270" s="693"/>
      <c r="AI270" s="697">
        <v>2008</v>
      </c>
      <c r="AJ270" s="698" t="s">
        <v>1914</v>
      </c>
      <c r="AK270" s="699">
        <f t="shared" si="45"/>
        <v>49764</v>
      </c>
      <c r="AL270" s="685" t="s">
        <v>159</v>
      </c>
      <c r="AM270" s="699">
        <v>2500</v>
      </c>
      <c r="AN270" s="699">
        <v>1000</v>
      </c>
    </row>
    <row r="271" spans="1:40" x14ac:dyDescent="0.3">
      <c r="B271" s="686"/>
      <c r="C271" s="687">
        <v>270</v>
      </c>
      <c r="D271" s="688"/>
      <c r="E271" s="688"/>
      <c r="F271" s="689"/>
      <c r="G271" s="689">
        <v>47.85</v>
      </c>
      <c r="H271" s="690"/>
      <c r="I271" s="691"/>
      <c r="J271" s="692"/>
      <c r="K271" s="692"/>
      <c r="L271" s="692"/>
      <c r="M271" s="693"/>
      <c r="N271" s="693"/>
      <c r="O271" s="691"/>
      <c r="P271" s="688" t="s">
        <v>1913</v>
      </c>
      <c r="Q271" s="694"/>
      <c r="R271" s="688"/>
      <c r="S271" s="688" t="e">
        <f>+#REF!</f>
        <v>#REF!</v>
      </c>
      <c r="T271" s="688"/>
      <c r="U271" s="688"/>
      <c r="V271" s="688"/>
      <c r="W271" s="695"/>
      <c r="X271" s="696"/>
      <c r="Y271" s="688"/>
      <c r="Z271" s="688"/>
      <c r="AA271" s="688"/>
      <c r="AB271" s="688"/>
      <c r="AC271" s="688"/>
      <c r="AD271" s="688"/>
      <c r="AE271" s="689"/>
      <c r="AF271" s="693"/>
      <c r="AG271" s="688"/>
      <c r="AH271" s="693"/>
      <c r="AI271" s="697">
        <v>2008</v>
      </c>
      <c r="AJ271" s="698" t="s">
        <v>1915</v>
      </c>
      <c r="AK271" s="699">
        <f t="shared" si="45"/>
        <v>52635</v>
      </c>
      <c r="AL271" s="685" t="s">
        <v>159</v>
      </c>
      <c r="AM271" s="699">
        <v>2500</v>
      </c>
      <c r="AN271" s="699">
        <v>1000</v>
      </c>
    </row>
    <row r="272" spans="1:40" x14ac:dyDescent="0.3">
      <c r="B272" s="686"/>
      <c r="C272" s="687">
        <v>271</v>
      </c>
      <c r="D272" s="688"/>
      <c r="E272" s="688"/>
      <c r="F272" s="689"/>
      <c r="G272" s="689">
        <v>75.400000000000006</v>
      </c>
      <c r="H272" s="690"/>
      <c r="I272" s="691"/>
      <c r="J272" s="692"/>
      <c r="K272" s="692"/>
      <c r="L272" s="692"/>
      <c r="M272" s="693"/>
      <c r="N272" s="693"/>
      <c r="O272" s="691"/>
      <c r="P272" s="688" t="s">
        <v>1913</v>
      </c>
      <c r="Q272" s="694"/>
      <c r="R272" s="688"/>
      <c r="S272" s="688" t="e">
        <f>+#REF!</f>
        <v>#REF!</v>
      </c>
      <c r="T272" s="688"/>
      <c r="U272" s="688"/>
      <c r="V272" s="688"/>
      <c r="W272" s="695"/>
      <c r="X272" s="696"/>
      <c r="Y272" s="688"/>
      <c r="Z272" s="688"/>
      <c r="AA272" s="688"/>
      <c r="AB272" s="688"/>
      <c r="AC272" s="688"/>
      <c r="AD272" s="688"/>
      <c r="AE272" s="689"/>
      <c r="AF272" s="693"/>
      <c r="AG272" s="688"/>
      <c r="AH272" s="693"/>
      <c r="AI272" s="697">
        <v>2008</v>
      </c>
      <c r="AJ272" s="698" t="s">
        <v>1916</v>
      </c>
      <c r="AK272" s="699">
        <f t="shared" si="45"/>
        <v>82940</v>
      </c>
      <c r="AL272" s="685" t="s">
        <v>159</v>
      </c>
      <c r="AM272" s="699">
        <v>2500</v>
      </c>
      <c r="AN272" s="699">
        <v>1000</v>
      </c>
    </row>
    <row r="273" spans="1:40" x14ac:dyDescent="0.3">
      <c r="B273" s="686"/>
      <c r="C273" s="687">
        <v>272</v>
      </c>
      <c r="D273" s="688"/>
      <c r="E273" s="688"/>
      <c r="F273" s="689"/>
      <c r="G273" s="689">
        <v>62.52</v>
      </c>
      <c r="H273" s="690"/>
      <c r="I273" s="691"/>
      <c r="J273" s="692"/>
      <c r="K273" s="692"/>
      <c r="L273" s="692"/>
      <c r="M273" s="693"/>
      <c r="N273" s="693"/>
      <c r="O273" s="691"/>
      <c r="P273" s="688" t="s">
        <v>1913</v>
      </c>
      <c r="Q273" s="694"/>
      <c r="R273" s="688"/>
      <c r="S273" s="688" t="e">
        <f>+#REF!</f>
        <v>#REF!</v>
      </c>
      <c r="T273" s="688"/>
      <c r="U273" s="688"/>
      <c r="V273" s="688"/>
      <c r="W273" s="695"/>
      <c r="X273" s="696"/>
      <c r="Y273" s="688"/>
      <c r="Z273" s="688"/>
      <c r="AA273" s="688"/>
      <c r="AB273" s="688"/>
      <c r="AC273" s="688"/>
      <c r="AD273" s="688"/>
      <c r="AE273" s="689"/>
      <c r="AF273" s="693"/>
      <c r="AG273" s="688"/>
      <c r="AH273" s="693"/>
      <c r="AI273" s="697">
        <v>2008</v>
      </c>
      <c r="AJ273" s="698" t="s">
        <v>1917</v>
      </c>
      <c r="AK273" s="699">
        <f t="shared" si="45"/>
        <v>68772</v>
      </c>
      <c r="AL273" s="685" t="s">
        <v>159</v>
      </c>
      <c r="AM273" s="699">
        <v>2500</v>
      </c>
      <c r="AN273" s="699">
        <v>1000</v>
      </c>
    </row>
    <row r="274" spans="1:40" x14ac:dyDescent="0.3">
      <c r="B274" s="686"/>
      <c r="C274" s="687">
        <v>273</v>
      </c>
      <c r="D274" s="688"/>
      <c r="E274" s="688"/>
      <c r="F274" s="689"/>
      <c r="G274" s="689">
        <v>62.52</v>
      </c>
      <c r="H274" s="690"/>
      <c r="I274" s="691"/>
      <c r="J274" s="692"/>
      <c r="K274" s="692"/>
      <c r="L274" s="692"/>
      <c r="M274" s="693"/>
      <c r="N274" s="693"/>
      <c r="O274" s="691"/>
      <c r="P274" s="688" t="s">
        <v>1913</v>
      </c>
      <c r="Q274" s="694"/>
      <c r="R274" s="688"/>
      <c r="S274" s="688" t="e">
        <f>+#REF!</f>
        <v>#REF!</v>
      </c>
      <c r="T274" s="688"/>
      <c r="U274" s="688"/>
      <c r="V274" s="688"/>
      <c r="W274" s="695"/>
      <c r="X274" s="696"/>
      <c r="Y274" s="688"/>
      <c r="Z274" s="688"/>
      <c r="AA274" s="688"/>
      <c r="AB274" s="688"/>
      <c r="AC274" s="688"/>
      <c r="AD274" s="688"/>
      <c r="AE274" s="689"/>
      <c r="AF274" s="693"/>
      <c r="AG274" s="688"/>
      <c r="AH274" s="693"/>
      <c r="AI274" s="697">
        <v>2008</v>
      </c>
      <c r="AJ274" s="698" t="s">
        <v>1918</v>
      </c>
      <c r="AK274" s="699">
        <f t="shared" si="45"/>
        <v>68772</v>
      </c>
      <c r="AL274" s="685" t="s">
        <v>159</v>
      </c>
      <c r="AM274" s="699">
        <v>2500</v>
      </c>
      <c r="AN274" s="699">
        <v>1000</v>
      </c>
    </row>
    <row r="275" spans="1:40" x14ac:dyDescent="0.3">
      <c r="B275" s="686"/>
      <c r="C275" s="687">
        <v>274</v>
      </c>
      <c r="D275" s="688"/>
      <c r="E275" s="688"/>
      <c r="F275" s="689"/>
      <c r="G275" s="689">
        <v>74.930000000000007</v>
      </c>
      <c r="H275" s="690"/>
      <c r="I275" s="691"/>
      <c r="J275" s="692"/>
      <c r="K275" s="692"/>
      <c r="L275" s="692"/>
      <c r="M275" s="693"/>
      <c r="N275" s="693"/>
      <c r="O275" s="691"/>
      <c r="P275" s="688" t="s">
        <v>1913</v>
      </c>
      <c r="Q275" s="694"/>
      <c r="R275" s="688"/>
      <c r="S275" s="688" t="e">
        <f>+#REF!</f>
        <v>#REF!</v>
      </c>
      <c r="T275" s="688"/>
      <c r="U275" s="688"/>
      <c r="V275" s="688"/>
      <c r="W275" s="695"/>
      <c r="X275" s="696"/>
      <c r="Y275" s="688"/>
      <c r="Z275" s="688"/>
      <c r="AA275" s="688"/>
      <c r="AB275" s="688"/>
      <c r="AC275" s="688"/>
      <c r="AD275" s="688"/>
      <c r="AE275" s="689"/>
      <c r="AF275" s="693"/>
      <c r="AG275" s="688"/>
      <c r="AH275" s="693"/>
      <c r="AI275" s="697">
        <v>2008</v>
      </c>
      <c r="AJ275" s="698" t="s">
        <v>1919</v>
      </c>
      <c r="AK275" s="699">
        <f t="shared" si="45"/>
        <v>82423.000000000015</v>
      </c>
      <c r="AL275" s="685" t="s">
        <v>159</v>
      </c>
      <c r="AM275" s="699">
        <v>2500</v>
      </c>
      <c r="AN275" s="699">
        <v>1000</v>
      </c>
    </row>
    <row r="276" spans="1:40" x14ac:dyDescent="0.3">
      <c r="B276" s="686"/>
      <c r="C276" s="687">
        <v>275</v>
      </c>
      <c r="D276" s="688"/>
      <c r="E276" s="688"/>
      <c r="F276" s="689"/>
      <c r="G276" s="689">
        <v>45.24</v>
      </c>
      <c r="H276" s="690"/>
      <c r="I276" s="691"/>
      <c r="J276" s="692"/>
      <c r="K276" s="692"/>
      <c r="L276" s="692"/>
      <c r="M276" s="693"/>
      <c r="N276" s="693"/>
      <c r="O276" s="691"/>
      <c r="P276" s="688" t="s">
        <v>1913</v>
      </c>
      <c r="Q276" s="694"/>
      <c r="R276" s="688"/>
      <c r="S276" s="688" t="e">
        <f>+#REF!</f>
        <v>#REF!</v>
      </c>
      <c r="T276" s="688"/>
      <c r="U276" s="688"/>
      <c r="V276" s="688"/>
      <c r="W276" s="695"/>
      <c r="X276" s="696"/>
      <c r="Y276" s="688"/>
      <c r="Z276" s="688"/>
      <c r="AA276" s="688"/>
      <c r="AB276" s="688"/>
      <c r="AC276" s="688"/>
      <c r="AD276" s="688"/>
      <c r="AE276" s="689"/>
      <c r="AF276" s="693"/>
      <c r="AG276" s="688"/>
      <c r="AH276" s="693"/>
      <c r="AI276" s="697">
        <v>2008</v>
      </c>
      <c r="AJ276" s="698" t="s">
        <v>1920</v>
      </c>
      <c r="AK276" s="699">
        <f t="shared" si="45"/>
        <v>49764</v>
      </c>
      <c r="AL276" s="685" t="s">
        <v>159</v>
      </c>
      <c r="AM276" s="699">
        <v>2500</v>
      </c>
      <c r="AN276" s="699">
        <v>1000</v>
      </c>
    </row>
    <row r="277" spans="1:40" x14ac:dyDescent="0.3">
      <c r="B277" s="686"/>
      <c r="C277" s="687">
        <v>276</v>
      </c>
      <c r="D277" s="688"/>
      <c r="E277" s="688"/>
      <c r="F277" s="689"/>
      <c r="G277" s="689">
        <v>65.180000000000007</v>
      </c>
      <c r="H277" s="690"/>
      <c r="I277" s="691"/>
      <c r="J277" s="692"/>
      <c r="K277" s="692"/>
      <c r="L277" s="692"/>
      <c r="M277" s="693"/>
      <c r="N277" s="693"/>
      <c r="O277" s="691"/>
      <c r="P277" s="688" t="s">
        <v>1913</v>
      </c>
      <c r="Q277" s="694"/>
      <c r="R277" s="688"/>
      <c r="S277" s="688" t="e">
        <f>+#REF!</f>
        <v>#REF!</v>
      </c>
      <c r="T277" s="688"/>
      <c r="U277" s="688"/>
      <c r="V277" s="688"/>
      <c r="W277" s="695"/>
      <c r="X277" s="696"/>
      <c r="Y277" s="688"/>
      <c r="Z277" s="688"/>
      <c r="AA277" s="688"/>
      <c r="AB277" s="688"/>
      <c r="AC277" s="688"/>
      <c r="AD277" s="688"/>
      <c r="AE277" s="689"/>
      <c r="AF277" s="693"/>
      <c r="AG277" s="688"/>
      <c r="AH277" s="693"/>
      <c r="AI277" s="697">
        <v>2008</v>
      </c>
      <c r="AJ277" s="698" t="s">
        <v>1921</v>
      </c>
      <c r="AK277" s="699">
        <f t="shared" si="45"/>
        <v>71698.000000000015</v>
      </c>
      <c r="AL277" s="685" t="s">
        <v>159</v>
      </c>
      <c r="AM277" s="699">
        <v>2500</v>
      </c>
      <c r="AN277" s="699">
        <v>1000</v>
      </c>
    </row>
    <row r="278" spans="1:40" x14ac:dyDescent="0.3">
      <c r="B278" s="686"/>
      <c r="C278" s="687">
        <v>277</v>
      </c>
      <c r="D278" s="688"/>
      <c r="E278" s="688"/>
      <c r="F278" s="689"/>
      <c r="G278" s="689">
        <v>75.12</v>
      </c>
      <c r="H278" s="690"/>
      <c r="I278" s="691"/>
      <c r="J278" s="692"/>
      <c r="K278" s="692"/>
      <c r="L278" s="692"/>
      <c r="M278" s="693"/>
      <c r="N278" s="693"/>
      <c r="O278" s="691"/>
      <c r="P278" s="688" t="s">
        <v>1913</v>
      </c>
      <c r="Q278" s="694"/>
      <c r="R278" s="688"/>
      <c r="S278" s="688" t="e">
        <f>+#REF!</f>
        <v>#REF!</v>
      </c>
      <c r="T278" s="688"/>
      <c r="U278" s="688"/>
      <c r="V278" s="688"/>
      <c r="W278" s="695"/>
      <c r="X278" s="696"/>
      <c r="Y278" s="688"/>
      <c r="Z278" s="688"/>
      <c r="AA278" s="688"/>
      <c r="AB278" s="688"/>
      <c r="AC278" s="688"/>
      <c r="AD278" s="688"/>
      <c r="AE278" s="689"/>
      <c r="AF278" s="693"/>
      <c r="AG278" s="688"/>
      <c r="AH278" s="693"/>
      <c r="AI278" s="697">
        <v>2008</v>
      </c>
      <c r="AJ278" s="698" t="s">
        <v>1922</v>
      </c>
      <c r="AK278" s="699">
        <f t="shared" si="45"/>
        <v>82632</v>
      </c>
      <c r="AL278" s="685" t="s">
        <v>159</v>
      </c>
      <c r="AM278" s="699">
        <v>2500</v>
      </c>
      <c r="AN278" s="699">
        <v>1000</v>
      </c>
    </row>
    <row r="279" spans="1:40" x14ac:dyDescent="0.3">
      <c r="B279" s="686"/>
      <c r="C279" s="687">
        <v>278</v>
      </c>
      <c r="D279" s="688"/>
      <c r="E279" s="688"/>
      <c r="F279" s="689"/>
      <c r="G279" s="689">
        <v>43.8</v>
      </c>
      <c r="H279" s="690"/>
      <c r="I279" s="691"/>
      <c r="J279" s="692"/>
      <c r="K279" s="692"/>
      <c r="L279" s="692"/>
      <c r="M279" s="693"/>
      <c r="N279" s="693"/>
      <c r="O279" s="691"/>
      <c r="P279" s="688" t="s">
        <v>1923</v>
      </c>
      <c r="Q279" s="694"/>
      <c r="R279" s="688"/>
      <c r="S279" s="688" t="e">
        <f>+#REF!</f>
        <v>#REF!</v>
      </c>
      <c r="T279" s="688"/>
      <c r="U279" s="688"/>
      <c r="V279" s="688"/>
      <c r="W279" s="695"/>
      <c r="X279" s="696"/>
      <c r="Y279" s="688"/>
      <c r="Z279" s="688"/>
      <c r="AA279" s="688"/>
      <c r="AB279" s="688"/>
      <c r="AC279" s="688"/>
      <c r="AD279" s="688"/>
      <c r="AE279" s="689"/>
      <c r="AF279" s="693"/>
      <c r="AG279" s="688"/>
      <c r="AH279" s="693"/>
      <c r="AI279" s="697">
        <v>1920</v>
      </c>
      <c r="AJ279" s="698" t="s">
        <v>1924</v>
      </c>
      <c r="AK279" s="699">
        <f>G279*600</f>
        <v>26280</v>
      </c>
      <c r="AL279" s="685" t="s">
        <v>160</v>
      </c>
      <c r="AM279" s="699">
        <v>2500</v>
      </c>
      <c r="AN279" s="699">
        <v>1000</v>
      </c>
    </row>
    <row r="280" spans="1:40" x14ac:dyDescent="0.3">
      <c r="A280" s="669" t="s">
        <v>1925</v>
      </c>
      <c r="B280" s="686" t="e">
        <f>+#REF!+1</f>
        <v>#REF!</v>
      </c>
      <c r="C280" s="687">
        <v>279</v>
      </c>
      <c r="D280" s="688">
        <v>100</v>
      </c>
      <c r="E280" s="688">
        <v>271</v>
      </c>
      <c r="F280" s="689"/>
      <c r="G280" s="689">
        <v>24.95</v>
      </c>
      <c r="H280" s="690">
        <v>1.0569999999999999</v>
      </c>
      <c r="I280" s="691">
        <f t="shared" si="41"/>
        <v>0</v>
      </c>
      <c r="J280" s="692">
        <f t="shared" si="42"/>
        <v>0</v>
      </c>
      <c r="K280" s="692">
        <v>0</v>
      </c>
      <c r="L280" s="692">
        <f t="shared" si="43"/>
        <v>0</v>
      </c>
      <c r="M280" s="693">
        <v>3.81</v>
      </c>
      <c r="N280" s="693">
        <v>0</v>
      </c>
      <c r="O280" s="691">
        <f t="shared" si="47"/>
        <v>0</v>
      </c>
      <c r="P280" s="688" t="s">
        <v>1926</v>
      </c>
      <c r="Q280" s="694">
        <v>5000</v>
      </c>
      <c r="R280" s="688" t="s">
        <v>886</v>
      </c>
      <c r="S280" s="688" t="e">
        <f>+#REF!</f>
        <v>#REF!</v>
      </c>
      <c r="T280" s="688" t="s">
        <v>1927</v>
      </c>
      <c r="U280" s="694">
        <v>5000</v>
      </c>
      <c r="V280" s="688" t="s">
        <v>886</v>
      </c>
      <c r="W280" s="695">
        <v>36495</v>
      </c>
      <c r="X280" s="696" t="s">
        <v>1471</v>
      </c>
      <c r="Y280" s="688" t="s">
        <v>1928</v>
      </c>
      <c r="Z280" s="688" t="s">
        <v>1929</v>
      </c>
      <c r="AA280" s="688" t="s">
        <v>891</v>
      </c>
      <c r="AB280" s="688" t="s">
        <v>891</v>
      </c>
      <c r="AC280" s="688"/>
      <c r="AD280" s="688"/>
      <c r="AE280" s="689">
        <v>4429520.8499999996</v>
      </c>
      <c r="AF280" s="693">
        <v>0.95485299999999995</v>
      </c>
      <c r="AG280" s="688" t="s">
        <v>891</v>
      </c>
      <c r="AH280" s="693">
        <v>0.41443799999999997</v>
      </c>
      <c r="AI280" s="697" t="s">
        <v>1471</v>
      </c>
      <c r="AJ280" s="698" t="s">
        <v>1930</v>
      </c>
      <c r="AK280" s="699">
        <f>G280*900</f>
        <v>22455</v>
      </c>
      <c r="AL280" s="685" t="s">
        <v>159</v>
      </c>
      <c r="AM280" s="699">
        <v>2500</v>
      </c>
      <c r="AN280" s="699">
        <v>1000</v>
      </c>
    </row>
    <row r="281" spans="1:40" x14ac:dyDescent="0.3">
      <c r="A281" s="669" t="s">
        <v>1931</v>
      </c>
      <c r="B281" s="686" t="e">
        <f>+B280+1</f>
        <v>#REF!</v>
      </c>
      <c r="C281" s="687">
        <f>+C280+1</f>
        <v>280</v>
      </c>
      <c r="D281" s="688">
        <v>100</v>
      </c>
      <c r="E281" s="688">
        <v>275</v>
      </c>
      <c r="F281" s="689"/>
      <c r="G281" s="689">
        <v>27.32</v>
      </c>
      <c r="H281" s="690">
        <v>1.0569999999999999</v>
      </c>
      <c r="I281" s="691">
        <f t="shared" si="41"/>
        <v>0</v>
      </c>
      <c r="J281" s="692">
        <f t="shared" si="42"/>
        <v>0</v>
      </c>
      <c r="K281" s="692">
        <v>0</v>
      </c>
      <c r="L281" s="692">
        <f t="shared" si="43"/>
        <v>0</v>
      </c>
      <c r="M281" s="693">
        <v>3.81</v>
      </c>
      <c r="N281" s="693">
        <v>0</v>
      </c>
      <c r="O281" s="691">
        <f t="shared" si="47"/>
        <v>0</v>
      </c>
      <c r="P281" s="688" t="s">
        <v>1926</v>
      </c>
      <c r="Q281" s="694">
        <v>5000</v>
      </c>
      <c r="R281" s="688" t="s">
        <v>886</v>
      </c>
      <c r="S281" s="688" t="e">
        <f>+#REF!</f>
        <v>#REF!</v>
      </c>
      <c r="T281" s="688" t="s">
        <v>1927</v>
      </c>
      <c r="U281" s="694">
        <v>5000</v>
      </c>
      <c r="V281" s="688" t="s">
        <v>886</v>
      </c>
      <c r="W281" s="695">
        <v>36495</v>
      </c>
      <c r="X281" s="696" t="s">
        <v>1471</v>
      </c>
      <c r="Y281" s="688" t="s">
        <v>1932</v>
      </c>
      <c r="Z281" s="688" t="s">
        <v>1933</v>
      </c>
      <c r="AA281" s="688" t="s">
        <v>891</v>
      </c>
      <c r="AB281" s="688" t="s">
        <v>891</v>
      </c>
      <c r="AC281" s="688"/>
      <c r="AD281" s="688"/>
      <c r="AE281" s="689">
        <v>5024244.5</v>
      </c>
      <c r="AF281" s="693">
        <v>1.0830550000000001</v>
      </c>
      <c r="AG281" s="688" t="s">
        <v>891</v>
      </c>
      <c r="AH281" s="693">
        <v>0.470082</v>
      </c>
      <c r="AI281" s="697" t="s">
        <v>1471</v>
      </c>
      <c r="AJ281" s="698" t="s">
        <v>1934</v>
      </c>
      <c r="AK281" s="699">
        <f>G281*900</f>
        <v>24588</v>
      </c>
      <c r="AL281" s="685" t="s">
        <v>159</v>
      </c>
      <c r="AM281" s="699">
        <v>2500</v>
      </c>
      <c r="AN281" s="699">
        <v>1000</v>
      </c>
    </row>
    <row r="282" spans="1:40" x14ac:dyDescent="0.3">
      <c r="B282" s="686"/>
      <c r="C282" s="687">
        <f t="shared" ref="C282:C287" si="48">+C281+1</f>
        <v>281</v>
      </c>
      <c r="D282" s="688"/>
      <c r="E282" s="688"/>
      <c r="F282" s="689"/>
      <c r="G282" s="689">
        <v>73.400000000000006</v>
      </c>
      <c r="H282" s="690"/>
      <c r="I282" s="691"/>
      <c r="J282" s="692"/>
      <c r="K282" s="692"/>
      <c r="L282" s="692"/>
      <c r="M282" s="693"/>
      <c r="N282" s="693"/>
      <c r="O282" s="691"/>
      <c r="P282" s="688" t="s">
        <v>1926</v>
      </c>
      <c r="Q282" s="694"/>
      <c r="R282" s="688"/>
      <c r="S282" s="688" t="e">
        <f>+#REF!</f>
        <v>#REF!</v>
      </c>
      <c r="T282" s="688"/>
      <c r="U282" s="694"/>
      <c r="V282" s="688"/>
      <c r="W282" s="695"/>
      <c r="X282" s="696"/>
      <c r="Y282" s="688"/>
      <c r="Z282" s="688"/>
      <c r="AA282" s="688"/>
      <c r="AB282" s="688"/>
      <c r="AC282" s="688"/>
      <c r="AD282" s="688"/>
      <c r="AE282" s="689"/>
      <c r="AF282" s="693"/>
      <c r="AG282" s="688"/>
      <c r="AH282" s="693"/>
      <c r="AI282" s="697">
        <v>1966</v>
      </c>
      <c r="AJ282" s="698" t="s">
        <v>1935</v>
      </c>
      <c r="AK282" s="699">
        <f t="shared" ref="AK282:AK289" si="49">G282*900</f>
        <v>66060</v>
      </c>
      <c r="AL282" s="685" t="s">
        <v>159</v>
      </c>
      <c r="AM282" s="699">
        <v>2500</v>
      </c>
      <c r="AN282" s="699">
        <v>1000</v>
      </c>
    </row>
    <row r="283" spans="1:40" x14ac:dyDescent="0.3">
      <c r="A283" s="669" t="s">
        <v>1936</v>
      </c>
      <c r="B283" s="686" t="e">
        <f>+B280+1</f>
        <v>#REF!</v>
      </c>
      <c r="C283" s="687">
        <f t="shared" si="48"/>
        <v>282</v>
      </c>
      <c r="D283" s="688">
        <v>100</v>
      </c>
      <c r="E283" s="688">
        <v>271</v>
      </c>
      <c r="F283" s="689"/>
      <c r="G283" s="689">
        <v>24.88</v>
      </c>
      <c r="H283" s="690">
        <v>1.0569999999999999</v>
      </c>
      <c r="I283" s="691">
        <f>+G283*E283*H283*D283*F283/100</f>
        <v>0</v>
      </c>
      <c r="J283" s="692">
        <f>ROUND(+I283*M283/(12*100),0)</f>
        <v>0</v>
      </c>
      <c r="K283" s="692">
        <v>0</v>
      </c>
      <c r="L283" s="692">
        <f>+J283-K283</f>
        <v>0</v>
      </c>
      <c r="M283" s="693">
        <v>6.35</v>
      </c>
      <c r="N283" s="693">
        <v>0</v>
      </c>
      <c r="O283" s="691">
        <f>ROUND(+I283*N283/(12*100),0)</f>
        <v>0</v>
      </c>
      <c r="P283" s="688" t="s">
        <v>1937</v>
      </c>
      <c r="Q283" s="694">
        <v>5000</v>
      </c>
      <c r="R283" s="688" t="s">
        <v>886</v>
      </c>
      <c r="S283" s="688" t="e">
        <f>+#REF!</f>
        <v>#REF!</v>
      </c>
      <c r="T283" s="688" t="s">
        <v>1938</v>
      </c>
      <c r="U283" s="694">
        <v>5000</v>
      </c>
      <c r="V283" s="688" t="s">
        <v>886</v>
      </c>
      <c r="W283" s="695">
        <v>36495</v>
      </c>
      <c r="X283" s="696" t="s">
        <v>1471</v>
      </c>
      <c r="Y283" s="688" t="s">
        <v>1939</v>
      </c>
      <c r="Z283" s="688" t="s">
        <v>1940</v>
      </c>
      <c r="AA283" s="688" t="s">
        <v>891</v>
      </c>
      <c r="AB283" s="688" t="s">
        <v>891</v>
      </c>
      <c r="AC283" s="688"/>
      <c r="AD283" s="688"/>
      <c r="AE283" s="689">
        <v>4429520.8499999996</v>
      </c>
      <c r="AF283" s="693">
        <v>0.96501999999999999</v>
      </c>
      <c r="AG283" s="688" t="s">
        <v>891</v>
      </c>
      <c r="AH283" s="693">
        <v>0.41443799999999997</v>
      </c>
      <c r="AI283" s="697" t="s">
        <v>1471</v>
      </c>
      <c r="AJ283" s="698" t="s">
        <v>1941</v>
      </c>
      <c r="AK283" s="699">
        <f t="shared" si="49"/>
        <v>22392</v>
      </c>
      <c r="AL283" s="685" t="s">
        <v>159</v>
      </c>
      <c r="AM283" s="699">
        <v>2500</v>
      </c>
      <c r="AN283" s="699">
        <v>1000</v>
      </c>
    </row>
    <row r="284" spans="1:40" x14ac:dyDescent="0.3">
      <c r="A284" s="669" t="s">
        <v>1942</v>
      </c>
      <c r="B284" s="686">
        <f>+B282+1</f>
        <v>1</v>
      </c>
      <c r="C284" s="687">
        <f t="shared" si="48"/>
        <v>283</v>
      </c>
      <c r="D284" s="688">
        <v>100</v>
      </c>
      <c r="E284" s="688">
        <v>275</v>
      </c>
      <c r="F284" s="689"/>
      <c r="G284" s="689">
        <v>27.81</v>
      </c>
      <c r="H284" s="690">
        <v>1.0569999999999999</v>
      </c>
      <c r="I284" s="691">
        <f>+G284*E284*H284*D284*F284/100</f>
        <v>0</v>
      </c>
      <c r="J284" s="692">
        <f>ROUND(+I284*M284/(12*100),0)</f>
        <v>0</v>
      </c>
      <c r="K284" s="692">
        <v>0</v>
      </c>
      <c r="L284" s="692">
        <f>+J284-K284</f>
        <v>0</v>
      </c>
      <c r="M284" s="693">
        <v>3.81</v>
      </c>
      <c r="N284" s="693">
        <v>0</v>
      </c>
      <c r="O284" s="691">
        <f>ROUND(+I284*N284/(12*100),0)</f>
        <v>0</v>
      </c>
      <c r="P284" s="688" t="s">
        <v>1937</v>
      </c>
      <c r="Q284" s="694">
        <v>5000</v>
      </c>
      <c r="R284" s="688" t="s">
        <v>886</v>
      </c>
      <c r="S284" s="688" t="e">
        <f>+#REF!</f>
        <v>#REF!</v>
      </c>
      <c r="T284" s="688" t="s">
        <v>1938</v>
      </c>
      <c r="U284" s="694">
        <v>5000</v>
      </c>
      <c r="V284" s="688" t="s">
        <v>886</v>
      </c>
      <c r="W284" s="695">
        <v>36495</v>
      </c>
      <c r="X284" s="696" t="s">
        <v>1471</v>
      </c>
      <c r="Y284" s="688" t="s">
        <v>1943</v>
      </c>
      <c r="Z284" s="688" t="s">
        <v>1944</v>
      </c>
      <c r="AA284" s="688" t="s">
        <v>891</v>
      </c>
      <c r="AB284" s="688" t="s">
        <v>891</v>
      </c>
      <c r="AC284" s="688"/>
      <c r="AD284" s="688"/>
      <c r="AE284" s="689">
        <v>4906813.4000000004</v>
      </c>
      <c r="AF284" s="693">
        <v>1.0690029999999999</v>
      </c>
      <c r="AG284" s="688" t="s">
        <v>891</v>
      </c>
      <c r="AH284" s="693">
        <v>0.45909499999999998</v>
      </c>
      <c r="AI284" s="697" t="s">
        <v>1471</v>
      </c>
      <c r="AJ284" s="698" t="s">
        <v>1945</v>
      </c>
      <c r="AK284" s="699">
        <f t="shared" si="49"/>
        <v>25029</v>
      </c>
      <c r="AL284" s="685" t="s">
        <v>159</v>
      </c>
      <c r="AM284" s="699">
        <v>2500</v>
      </c>
      <c r="AN284" s="699">
        <v>1000</v>
      </c>
    </row>
    <row r="285" spans="1:40" x14ac:dyDescent="0.3">
      <c r="B285" s="686"/>
      <c r="C285" s="687">
        <f t="shared" si="48"/>
        <v>284</v>
      </c>
      <c r="D285" s="688"/>
      <c r="E285" s="688"/>
      <c r="F285" s="689"/>
      <c r="G285" s="689">
        <v>26.62</v>
      </c>
      <c r="H285" s="690"/>
      <c r="I285" s="691"/>
      <c r="J285" s="692"/>
      <c r="K285" s="692"/>
      <c r="L285" s="692"/>
      <c r="M285" s="693"/>
      <c r="N285" s="693"/>
      <c r="O285" s="691"/>
      <c r="P285" s="688" t="s">
        <v>1938</v>
      </c>
      <c r="Q285" s="694"/>
      <c r="R285" s="688"/>
      <c r="S285" s="688" t="e">
        <f>+#REF!</f>
        <v>#REF!</v>
      </c>
      <c r="T285" s="688"/>
      <c r="U285" s="694"/>
      <c r="V285" s="688"/>
      <c r="W285" s="695"/>
      <c r="X285" s="696"/>
      <c r="Y285" s="688"/>
      <c r="Z285" s="688"/>
      <c r="AA285" s="688"/>
      <c r="AB285" s="688"/>
      <c r="AC285" s="688"/>
      <c r="AD285" s="688"/>
      <c r="AE285" s="689"/>
      <c r="AF285" s="693"/>
      <c r="AG285" s="688"/>
      <c r="AH285" s="693"/>
      <c r="AI285" s="697">
        <v>1966</v>
      </c>
      <c r="AJ285" s="698" t="s">
        <v>1946</v>
      </c>
      <c r="AK285" s="699">
        <f t="shared" si="49"/>
        <v>23958</v>
      </c>
      <c r="AL285" s="685" t="s">
        <v>159</v>
      </c>
      <c r="AM285" s="699">
        <v>2500</v>
      </c>
      <c r="AN285" s="699">
        <v>1000</v>
      </c>
    </row>
    <row r="286" spans="1:40" x14ac:dyDescent="0.3">
      <c r="B286" s="686"/>
      <c r="C286" s="687">
        <f t="shared" si="48"/>
        <v>285</v>
      </c>
      <c r="D286" s="688"/>
      <c r="E286" s="688"/>
      <c r="F286" s="689"/>
      <c r="G286" s="689">
        <v>86.12</v>
      </c>
      <c r="H286" s="690"/>
      <c r="I286" s="691"/>
      <c r="J286" s="692"/>
      <c r="K286" s="692"/>
      <c r="L286" s="692"/>
      <c r="M286" s="693"/>
      <c r="N286" s="693"/>
      <c r="O286" s="691"/>
      <c r="P286" s="688" t="s">
        <v>1938</v>
      </c>
      <c r="Q286" s="694"/>
      <c r="R286" s="688"/>
      <c r="S286" s="688" t="e">
        <f>+#REF!</f>
        <v>#REF!</v>
      </c>
      <c r="T286" s="688"/>
      <c r="U286" s="694"/>
      <c r="V286" s="688"/>
      <c r="W286" s="695"/>
      <c r="X286" s="696"/>
      <c r="Y286" s="688"/>
      <c r="Z286" s="688"/>
      <c r="AA286" s="688"/>
      <c r="AB286" s="688"/>
      <c r="AC286" s="688"/>
      <c r="AD286" s="688"/>
      <c r="AE286" s="689"/>
      <c r="AF286" s="693"/>
      <c r="AG286" s="688"/>
      <c r="AH286" s="693"/>
      <c r="AI286" s="697">
        <v>1966</v>
      </c>
      <c r="AJ286" s="698" t="s">
        <v>1947</v>
      </c>
      <c r="AK286" s="699">
        <f t="shared" si="49"/>
        <v>77508</v>
      </c>
      <c r="AL286" s="685" t="s">
        <v>159</v>
      </c>
      <c r="AM286" s="699">
        <v>2500</v>
      </c>
      <c r="AN286" s="699">
        <v>1000</v>
      </c>
    </row>
    <row r="287" spans="1:40" x14ac:dyDescent="0.3">
      <c r="B287" s="686"/>
      <c r="C287" s="687">
        <f t="shared" si="48"/>
        <v>286</v>
      </c>
      <c r="D287" s="688"/>
      <c r="E287" s="688"/>
      <c r="F287" s="689"/>
      <c r="G287" s="689">
        <v>27.16</v>
      </c>
      <c r="H287" s="690"/>
      <c r="I287" s="691"/>
      <c r="J287" s="692"/>
      <c r="K287" s="692"/>
      <c r="L287" s="692"/>
      <c r="M287" s="693"/>
      <c r="N287" s="693"/>
      <c r="O287" s="691"/>
      <c r="P287" s="688" t="s">
        <v>1938</v>
      </c>
      <c r="Q287" s="694"/>
      <c r="R287" s="688"/>
      <c r="S287" s="688" t="e">
        <f>+#REF!</f>
        <v>#REF!</v>
      </c>
      <c r="T287" s="688"/>
      <c r="U287" s="694"/>
      <c r="V287" s="688"/>
      <c r="W287" s="695"/>
      <c r="X287" s="696"/>
      <c r="Y287" s="688"/>
      <c r="Z287" s="688"/>
      <c r="AA287" s="688"/>
      <c r="AB287" s="688"/>
      <c r="AC287" s="688"/>
      <c r="AD287" s="688"/>
      <c r="AE287" s="689"/>
      <c r="AF287" s="693"/>
      <c r="AG287" s="688"/>
      <c r="AH287" s="693"/>
      <c r="AI287" s="697">
        <v>1966</v>
      </c>
      <c r="AJ287" s="698" t="s">
        <v>1948</v>
      </c>
      <c r="AK287" s="699">
        <f t="shared" si="49"/>
        <v>24444</v>
      </c>
      <c r="AL287" s="685" t="s">
        <v>159</v>
      </c>
      <c r="AM287" s="699">
        <v>2500</v>
      </c>
      <c r="AN287" s="699">
        <v>1000</v>
      </c>
    </row>
    <row r="288" spans="1:40" x14ac:dyDescent="0.3">
      <c r="B288" s="686"/>
      <c r="C288" s="687">
        <v>287</v>
      </c>
      <c r="D288" s="688"/>
      <c r="E288" s="688"/>
      <c r="F288" s="689"/>
      <c r="G288" s="689">
        <v>81.17</v>
      </c>
      <c r="H288" s="690"/>
      <c r="I288" s="691"/>
      <c r="J288" s="692"/>
      <c r="K288" s="692"/>
      <c r="L288" s="692"/>
      <c r="M288" s="693"/>
      <c r="N288" s="693"/>
      <c r="O288" s="691"/>
      <c r="P288" s="688" t="s">
        <v>1949</v>
      </c>
      <c r="Q288" s="694"/>
      <c r="R288" s="688"/>
      <c r="S288" s="688" t="e">
        <f>+#REF!</f>
        <v>#REF!</v>
      </c>
      <c r="T288" s="688"/>
      <c r="U288" s="694"/>
      <c r="V288" s="688"/>
      <c r="W288" s="695"/>
      <c r="X288" s="696"/>
      <c r="Y288" s="688"/>
      <c r="Z288" s="688"/>
      <c r="AA288" s="688"/>
      <c r="AB288" s="688"/>
      <c r="AC288" s="688"/>
      <c r="AD288" s="688"/>
      <c r="AE288" s="689"/>
      <c r="AF288" s="693"/>
      <c r="AG288" s="688"/>
      <c r="AH288" s="693"/>
      <c r="AI288" s="697">
        <v>1966</v>
      </c>
      <c r="AJ288" s="698" t="s">
        <v>1950</v>
      </c>
      <c r="AK288" s="699">
        <f t="shared" si="49"/>
        <v>73053</v>
      </c>
      <c r="AL288" s="685" t="s">
        <v>159</v>
      </c>
      <c r="AM288" s="699">
        <v>2500</v>
      </c>
      <c r="AN288" s="699">
        <v>1000</v>
      </c>
    </row>
    <row r="289" spans="1:40" x14ac:dyDescent="0.3">
      <c r="B289" s="686"/>
      <c r="C289" s="687">
        <v>288</v>
      </c>
      <c r="D289" s="688"/>
      <c r="E289" s="688"/>
      <c r="F289" s="689"/>
      <c r="G289" s="689">
        <v>34.659999999999997</v>
      </c>
      <c r="H289" s="690"/>
      <c r="I289" s="691"/>
      <c r="J289" s="692"/>
      <c r="K289" s="692"/>
      <c r="L289" s="692"/>
      <c r="M289" s="693"/>
      <c r="N289" s="693"/>
      <c r="O289" s="691"/>
      <c r="P289" s="688" t="s">
        <v>1951</v>
      </c>
      <c r="Q289" s="694"/>
      <c r="R289" s="688"/>
      <c r="S289" s="688" t="e">
        <f>+#REF!</f>
        <v>#REF!</v>
      </c>
      <c r="T289" s="688"/>
      <c r="U289" s="694"/>
      <c r="V289" s="688"/>
      <c r="W289" s="695"/>
      <c r="X289" s="696"/>
      <c r="Y289" s="688"/>
      <c r="Z289" s="688"/>
      <c r="AA289" s="688"/>
      <c r="AB289" s="688"/>
      <c r="AC289" s="688"/>
      <c r="AD289" s="688"/>
      <c r="AE289" s="689"/>
      <c r="AF289" s="693"/>
      <c r="AG289" s="688"/>
      <c r="AH289" s="693"/>
      <c r="AI289" s="697"/>
      <c r="AJ289" s="698" t="s">
        <v>1952</v>
      </c>
      <c r="AK289" s="699">
        <f t="shared" si="49"/>
        <v>31193.999999999996</v>
      </c>
      <c r="AL289" s="685" t="s">
        <v>159</v>
      </c>
      <c r="AM289" s="699">
        <v>2500</v>
      </c>
      <c r="AN289" s="699">
        <v>1000</v>
      </c>
    </row>
    <row r="290" spans="1:40" x14ac:dyDescent="0.3">
      <c r="B290" s="686"/>
      <c r="C290" s="687">
        <v>289</v>
      </c>
      <c r="D290" s="688"/>
      <c r="E290" s="688"/>
      <c r="F290" s="689"/>
      <c r="G290" s="689">
        <v>43.83</v>
      </c>
      <c r="H290" s="690"/>
      <c r="I290" s="691"/>
      <c r="J290" s="692"/>
      <c r="K290" s="692"/>
      <c r="L290" s="692"/>
      <c r="M290" s="693"/>
      <c r="N290" s="693"/>
      <c r="O290" s="691"/>
      <c r="P290" s="688" t="s">
        <v>1953</v>
      </c>
      <c r="Q290" s="694"/>
      <c r="R290" s="688"/>
      <c r="S290" s="688" t="e">
        <f>+#REF!</f>
        <v>#REF!</v>
      </c>
      <c r="T290" s="688"/>
      <c r="U290" s="694"/>
      <c r="V290" s="688"/>
      <c r="W290" s="695"/>
      <c r="X290" s="696"/>
      <c r="Y290" s="688"/>
      <c r="Z290" s="688"/>
      <c r="AA290" s="688"/>
      <c r="AB290" s="688"/>
      <c r="AC290" s="688"/>
      <c r="AD290" s="688"/>
      <c r="AE290" s="689"/>
      <c r="AF290" s="693"/>
      <c r="AG290" s="688"/>
      <c r="AH290" s="693"/>
      <c r="AI290" s="697">
        <v>2008</v>
      </c>
      <c r="AJ290" s="698" t="s">
        <v>1954</v>
      </c>
      <c r="AK290" s="699">
        <f>G290*1100</f>
        <v>48213</v>
      </c>
      <c r="AL290" s="685" t="s">
        <v>159</v>
      </c>
      <c r="AM290" s="699">
        <v>2500</v>
      </c>
      <c r="AN290" s="699">
        <v>1000</v>
      </c>
    </row>
    <row r="291" spans="1:40" x14ac:dyDescent="0.3">
      <c r="B291" s="686"/>
      <c r="C291" s="687">
        <v>290</v>
      </c>
      <c r="D291" s="688"/>
      <c r="E291" s="688"/>
      <c r="F291" s="689"/>
      <c r="G291" s="689">
        <v>51.09</v>
      </c>
      <c r="H291" s="690"/>
      <c r="I291" s="691"/>
      <c r="J291" s="692"/>
      <c r="K291" s="692"/>
      <c r="L291" s="692"/>
      <c r="M291" s="693"/>
      <c r="N291" s="693"/>
      <c r="O291" s="691"/>
      <c r="P291" s="688" t="s">
        <v>1953</v>
      </c>
      <c r="Q291" s="694"/>
      <c r="R291" s="688"/>
      <c r="S291" s="688" t="e">
        <f>+#REF!</f>
        <v>#REF!</v>
      </c>
      <c r="T291" s="688"/>
      <c r="U291" s="694"/>
      <c r="V291" s="688"/>
      <c r="W291" s="695"/>
      <c r="X291" s="696"/>
      <c r="Y291" s="688"/>
      <c r="Z291" s="688"/>
      <c r="AA291" s="688"/>
      <c r="AB291" s="688"/>
      <c r="AC291" s="688"/>
      <c r="AD291" s="688"/>
      <c r="AE291" s="689"/>
      <c r="AF291" s="693"/>
      <c r="AG291" s="688"/>
      <c r="AH291" s="693"/>
      <c r="AI291" s="697">
        <v>2008</v>
      </c>
      <c r="AJ291" s="698" t="s">
        <v>1955</v>
      </c>
      <c r="AK291" s="699">
        <f t="shared" ref="AK291:AK311" si="50">G291*1100</f>
        <v>56199.000000000007</v>
      </c>
      <c r="AL291" s="685" t="s">
        <v>159</v>
      </c>
      <c r="AM291" s="699">
        <v>2500</v>
      </c>
      <c r="AN291" s="699">
        <v>1000</v>
      </c>
    </row>
    <row r="292" spans="1:40" x14ac:dyDescent="0.3">
      <c r="B292" s="686"/>
      <c r="C292" s="687">
        <v>291</v>
      </c>
      <c r="D292" s="688"/>
      <c r="E292" s="688"/>
      <c r="F292" s="689"/>
      <c r="G292" s="689">
        <v>43.9</v>
      </c>
      <c r="H292" s="690"/>
      <c r="I292" s="691"/>
      <c r="J292" s="692"/>
      <c r="K292" s="692"/>
      <c r="L292" s="692"/>
      <c r="M292" s="693"/>
      <c r="N292" s="693"/>
      <c r="O292" s="691"/>
      <c r="P292" s="688" t="s">
        <v>1953</v>
      </c>
      <c r="Q292" s="694"/>
      <c r="R292" s="688"/>
      <c r="S292" s="688" t="e">
        <f>+#REF!</f>
        <v>#REF!</v>
      </c>
      <c r="T292" s="688"/>
      <c r="U292" s="694"/>
      <c r="V292" s="688"/>
      <c r="W292" s="695"/>
      <c r="X292" s="696"/>
      <c r="Y292" s="688"/>
      <c r="Z292" s="688"/>
      <c r="AA292" s="688"/>
      <c r="AB292" s="688"/>
      <c r="AC292" s="688"/>
      <c r="AD292" s="688"/>
      <c r="AE292" s="689"/>
      <c r="AF292" s="693"/>
      <c r="AG292" s="688"/>
      <c r="AH292" s="693"/>
      <c r="AI292" s="697">
        <v>2008</v>
      </c>
      <c r="AJ292" s="698" t="s">
        <v>1956</v>
      </c>
      <c r="AK292" s="699">
        <f t="shared" si="50"/>
        <v>48290</v>
      </c>
      <c r="AL292" s="685" t="s">
        <v>159</v>
      </c>
      <c r="AM292" s="699">
        <v>2500</v>
      </c>
      <c r="AN292" s="699">
        <v>1000</v>
      </c>
    </row>
    <row r="293" spans="1:40" x14ac:dyDescent="0.3">
      <c r="B293" s="686"/>
      <c r="C293" s="687">
        <v>292</v>
      </c>
      <c r="D293" s="688"/>
      <c r="E293" s="688"/>
      <c r="F293" s="689"/>
      <c r="G293" s="689">
        <v>35.03</v>
      </c>
      <c r="H293" s="690"/>
      <c r="I293" s="691"/>
      <c r="J293" s="692"/>
      <c r="K293" s="692"/>
      <c r="L293" s="692"/>
      <c r="M293" s="693"/>
      <c r="N293" s="693"/>
      <c r="O293" s="691"/>
      <c r="P293" s="688" t="s">
        <v>1953</v>
      </c>
      <c r="Q293" s="694"/>
      <c r="R293" s="688"/>
      <c r="S293" s="688" t="e">
        <f>+#REF!</f>
        <v>#REF!</v>
      </c>
      <c r="T293" s="688"/>
      <c r="U293" s="694"/>
      <c r="V293" s="688"/>
      <c r="W293" s="695"/>
      <c r="X293" s="696"/>
      <c r="Y293" s="688"/>
      <c r="Z293" s="688"/>
      <c r="AA293" s="688"/>
      <c r="AB293" s="688"/>
      <c r="AC293" s="688"/>
      <c r="AD293" s="688"/>
      <c r="AE293" s="689"/>
      <c r="AF293" s="693"/>
      <c r="AG293" s="688"/>
      <c r="AH293" s="693"/>
      <c r="AI293" s="697">
        <v>2008</v>
      </c>
      <c r="AJ293" s="698" t="s">
        <v>1957</v>
      </c>
      <c r="AK293" s="699">
        <f t="shared" si="50"/>
        <v>38533</v>
      </c>
      <c r="AL293" s="685" t="s">
        <v>159</v>
      </c>
      <c r="AM293" s="699">
        <v>2500</v>
      </c>
      <c r="AN293" s="699">
        <v>1000</v>
      </c>
    </row>
    <row r="294" spans="1:40" x14ac:dyDescent="0.3">
      <c r="B294" s="686"/>
      <c r="C294" s="687">
        <v>293</v>
      </c>
      <c r="D294" s="688"/>
      <c r="E294" s="688"/>
      <c r="F294" s="689"/>
      <c r="G294" s="689">
        <v>92.76</v>
      </c>
      <c r="H294" s="690"/>
      <c r="I294" s="691"/>
      <c r="J294" s="692"/>
      <c r="K294" s="692"/>
      <c r="L294" s="692"/>
      <c r="M294" s="693"/>
      <c r="N294" s="693"/>
      <c r="O294" s="691"/>
      <c r="P294" s="688" t="s">
        <v>1953</v>
      </c>
      <c r="Q294" s="694"/>
      <c r="R294" s="688"/>
      <c r="S294" s="688" t="e">
        <f>+#REF!</f>
        <v>#REF!</v>
      </c>
      <c r="T294" s="688"/>
      <c r="U294" s="694"/>
      <c r="V294" s="688"/>
      <c r="W294" s="695"/>
      <c r="X294" s="696"/>
      <c r="Y294" s="688"/>
      <c r="Z294" s="688"/>
      <c r="AA294" s="688"/>
      <c r="AB294" s="688"/>
      <c r="AC294" s="688"/>
      <c r="AD294" s="688"/>
      <c r="AE294" s="689"/>
      <c r="AF294" s="693"/>
      <c r="AG294" s="688"/>
      <c r="AH294" s="693"/>
      <c r="AI294" s="697">
        <v>2008</v>
      </c>
      <c r="AJ294" s="698" t="s">
        <v>1958</v>
      </c>
      <c r="AK294" s="699">
        <f t="shared" si="50"/>
        <v>102036</v>
      </c>
      <c r="AL294" s="685" t="s">
        <v>159</v>
      </c>
      <c r="AM294" s="699">
        <v>2500</v>
      </c>
      <c r="AN294" s="699">
        <v>1000</v>
      </c>
    </row>
    <row r="295" spans="1:40" x14ac:dyDescent="0.3">
      <c r="B295" s="686"/>
      <c r="C295" s="687">
        <v>294</v>
      </c>
      <c r="D295" s="688"/>
      <c r="E295" s="688"/>
      <c r="F295" s="689"/>
      <c r="G295" s="689">
        <v>61.64</v>
      </c>
      <c r="H295" s="690"/>
      <c r="I295" s="691"/>
      <c r="J295" s="692"/>
      <c r="K295" s="692"/>
      <c r="L295" s="692"/>
      <c r="M295" s="693"/>
      <c r="N295" s="693"/>
      <c r="O295" s="691"/>
      <c r="P295" s="688" t="s">
        <v>1953</v>
      </c>
      <c r="Q295" s="694"/>
      <c r="R295" s="688"/>
      <c r="S295" s="688" t="e">
        <f>+#REF!</f>
        <v>#REF!</v>
      </c>
      <c r="T295" s="688"/>
      <c r="U295" s="694"/>
      <c r="V295" s="688"/>
      <c r="W295" s="695"/>
      <c r="X295" s="696"/>
      <c r="Y295" s="688"/>
      <c r="Z295" s="688"/>
      <c r="AA295" s="688"/>
      <c r="AB295" s="688"/>
      <c r="AC295" s="688"/>
      <c r="AD295" s="688"/>
      <c r="AE295" s="689"/>
      <c r="AF295" s="693"/>
      <c r="AG295" s="688"/>
      <c r="AH295" s="693"/>
      <c r="AI295" s="697">
        <v>2008</v>
      </c>
      <c r="AJ295" s="698" t="s">
        <v>1959</v>
      </c>
      <c r="AK295" s="699">
        <f t="shared" si="50"/>
        <v>67804</v>
      </c>
      <c r="AL295" s="685" t="s">
        <v>159</v>
      </c>
      <c r="AM295" s="699">
        <v>2500</v>
      </c>
      <c r="AN295" s="699">
        <v>1000</v>
      </c>
    </row>
    <row r="296" spans="1:40" x14ac:dyDescent="0.3">
      <c r="B296" s="686"/>
      <c r="C296" s="687">
        <v>295</v>
      </c>
      <c r="D296" s="688"/>
      <c r="E296" s="688"/>
      <c r="F296" s="689"/>
      <c r="G296" s="689">
        <v>49.54</v>
      </c>
      <c r="H296" s="690"/>
      <c r="I296" s="691"/>
      <c r="J296" s="692"/>
      <c r="K296" s="692"/>
      <c r="L296" s="692"/>
      <c r="M296" s="693"/>
      <c r="N296" s="693"/>
      <c r="O296" s="691"/>
      <c r="P296" s="688" t="s">
        <v>1953</v>
      </c>
      <c r="Q296" s="694"/>
      <c r="R296" s="688"/>
      <c r="S296" s="688" t="e">
        <f>+#REF!</f>
        <v>#REF!</v>
      </c>
      <c r="T296" s="688"/>
      <c r="U296" s="694"/>
      <c r="V296" s="688"/>
      <c r="W296" s="695"/>
      <c r="X296" s="696"/>
      <c r="Y296" s="688"/>
      <c r="Z296" s="688"/>
      <c r="AA296" s="688"/>
      <c r="AB296" s="688"/>
      <c r="AC296" s="688"/>
      <c r="AD296" s="688"/>
      <c r="AE296" s="689"/>
      <c r="AF296" s="693"/>
      <c r="AG296" s="688"/>
      <c r="AH296" s="693"/>
      <c r="AI296" s="697">
        <v>2008</v>
      </c>
      <c r="AJ296" s="698" t="s">
        <v>1960</v>
      </c>
      <c r="AK296" s="699">
        <f t="shared" si="50"/>
        <v>54494</v>
      </c>
      <c r="AL296" s="685" t="s">
        <v>159</v>
      </c>
      <c r="AM296" s="699">
        <v>2500</v>
      </c>
      <c r="AN296" s="699">
        <v>1000</v>
      </c>
    </row>
    <row r="297" spans="1:40" x14ac:dyDescent="0.3">
      <c r="B297" s="686"/>
      <c r="C297" s="687">
        <v>296</v>
      </c>
      <c r="D297" s="688"/>
      <c r="E297" s="688"/>
      <c r="F297" s="689"/>
      <c r="G297" s="689">
        <v>44.68</v>
      </c>
      <c r="H297" s="690"/>
      <c r="I297" s="691"/>
      <c r="J297" s="692"/>
      <c r="K297" s="692"/>
      <c r="L297" s="692"/>
      <c r="M297" s="693"/>
      <c r="N297" s="693"/>
      <c r="O297" s="691"/>
      <c r="P297" s="688" t="s">
        <v>1953</v>
      </c>
      <c r="Q297" s="694"/>
      <c r="R297" s="688"/>
      <c r="S297" s="688" t="e">
        <f>+#REF!</f>
        <v>#REF!</v>
      </c>
      <c r="T297" s="688"/>
      <c r="U297" s="694"/>
      <c r="V297" s="688"/>
      <c r="W297" s="695"/>
      <c r="X297" s="696"/>
      <c r="Y297" s="688"/>
      <c r="Z297" s="688"/>
      <c r="AA297" s="688"/>
      <c r="AB297" s="688"/>
      <c r="AC297" s="688"/>
      <c r="AD297" s="688"/>
      <c r="AE297" s="689"/>
      <c r="AF297" s="693"/>
      <c r="AG297" s="688"/>
      <c r="AH297" s="693"/>
      <c r="AI297" s="697">
        <v>2008</v>
      </c>
      <c r="AJ297" s="698" t="s">
        <v>1961</v>
      </c>
      <c r="AK297" s="699">
        <f t="shared" si="50"/>
        <v>49148</v>
      </c>
      <c r="AL297" s="685" t="s">
        <v>159</v>
      </c>
      <c r="AM297" s="699">
        <v>2500</v>
      </c>
      <c r="AN297" s="699">
        <v>1000</v>
      </c>
    </row>
    <row r="298" spans="1:40" x14ac:dyDescent="0.3">
      <c r="B298" s="686"/>
      <c r="C298" s="687">
        <v>297</v>
      </c>
      <c r="D298" s="688"/>
      <c r="E298" s="688"/>
      <c r="F298" s="689"/>
      <c r="G298" s="689">
        <v>38.96</v>
      </c>
      <c r="H298" s="690"/>
      <c r="I298" s="691"/>
      <c r="J298" s="692"/>
      <c r="K298" s="692"/>
      <c r="L298" s="692"/>
      <c r="M298" s="693"/>
      <c r="N298" s="693"/>
      <c r="O298" s="691"/>
      <c r="P298" s="688" t="s">
        <v>1953</v>
      </c>
      <c r="Q298" s="694"/>
      <c r="R298" s="688"/>
      <c r="S298" s="688" t="e">
        <f>+#REF!</f>
        <v>#REF!</v>
      </c>
      <c r="T298" s="688"/>
      <c r="U298" s="694"/>
      <c r="V298" s="688"/>
      <c r="W298" s="695"/>
      <c r="X298" s="696"/>
      <c r="Y298" s="688"/>
      <c r="Z298" s="688"/>
      <c r="AA298" s="688"/>
      <c r="AB298" s="688"/>
      <c r="AC298" s="688"/>
      <c r="AD298" s="688"/>
      <c r="AE298" s="689"/>
      <c r="AF298" s="693"/>
      <c r="AG298" s="688"/>
      <c r="AH298" s="693"/>
      <c r="AI298" s="697">
        <v>2008</v>
      </c>
      <c r="AJ298" s="698" t="s">
        <v>1962</v>
      </c>
      <c r="AK298" s="699">
        <f t="shared" si="50"/>
        <v>42856</v>
      </c>
      <c r="AL298" s="685" t="s">
        <v>159</v>
      </c>
      <c r="AM298" s="699">
        <v>2500</v>
      </c>
      <c r="AN298" s="699">
        <v>1000</v>
      </c>
    </row>
    <row r="299" spans="1:40" x14ac:dyDescent="0.3">
      <c r="B299" s="686"/>
      <c r="C299" s="687">
        <v>298</v>
      </c>
      <c r="D299" s="688"/>
      <c r="E299" s="688"/>
      <c r="F299" s="689"/>
      <c r="G299" s="689">
        <v>61.8</v>
      </c>
      <c r="H299" s="690"/>
      <c r="I299" s="691"/>
      <c r="J299" s="692"/>
      <c r="K299" s="692"/>
      <c r="L299" s="692"/>
      <c r="M299" s="693"/>
      <c r="N299" s="693"/>
      <c r="O299" s="691"/>
      <c r="P299" s="688" t="s">
        <v>1953</v>
      </c>
      <c r="Q299" s="694"/>
      <c r="R299" s="688"/>
      <c r="S299" s="688" t="e">
        <f>+#REF!</f>
        <v>#REF!</v>
      </c>
      <c r="T299" s="688"/>
      <c r="U299" s="694"/>
      <c r="V299" s="688"/>
      <c r="W299" s="695"/>
      <c r="X299" s="696"/>
      <c r="Y299" s="688"/>
      <c r="Z299" s="688"/>
      <c r="AA299" s="688"/>
      <c r="AB299" s="688"/>
      <c r="AC299" s="688"/>
      <c r="AD299" s="688"/>
      <c r="AE299" s="689"/>
      <c r="AF299" s="693"/>
      <c r="AG299" s="688"/>
      <c r="AH299" s="693"/>
      <c r="AI299" s="697">
        <v>2008</v>
      </c>
      <c r="AJ299" s="698" t="s">
        <v>1963</v>
      </c>
      <c r="AK299" s="699">
        <f t="shared" si="50"/>
        <v>67980</v>
      </c>
      <c r="AL299" s="685" t="s">
        <v>159</v>
      </c>
      <c r="AM299" s="699">
        <v>2500</v>
      </c>
      <c r="AN299" s="699">
        <v>1000</v>
      </c>
    </row>
    <row r="300" spans="1:40" x14ac:dyDescent="0.3">
      <c r="A300" s="669" t="s">
        <v>1964</v>
      </c>
      <c r="B300" s="686"/>
      <c r="C300" s="687">
        <v>299</v>
      </c>
      <c r="D300" s="688"/>
      <c r="E300" s="688"/>
      <c r="F300" s="689"/>
      <c r="G300" s="689">
        <v>61.75</v>
      </c>
      <c r="H300" s="690"/>
      <c r="I300" s="691"/>
      <c r="J300" s="692"/>
      <c r="K300" s="692"/>
      <c r="L300" s="692"/>
      <c r="M300" s="693"/>
      <c r="N300" s="693"/>
      <c r="O300" s="691"/>
      <c r="P300" s="688" t="s">
        <v>1953</v>
      </c>
      <c r="Q300" s="694"/>
      <c r="R300" s="688"/>
      <c r="S300" s="688" t="e">
        <f>+#REF!</f>
        <v>#REF!</v>
      </c>
      <c r="T300" s="688"/>
      <c r="U300" s="694"/>
      <c r="V300" s="688"/>
      <c r="W300" s="695"/>
      <c r="X300" s="696"/>
      <c r="Y300" s="688"/>
      <c r="Z300" s="688"/>
      <c r="AA300" s="688"/>
      <c r="AB300" s="688"/>
      <c r="AC300" s="688"/>
      <c r="AD300" s="688"/>
      <c r="AE300" s="689"/>
      <c r="AF300" s="693"/>
      <c r="AG300" s="688"/>
      <c r="AH300" s="693"/>
      <c r="AI300" s="697">
        <v>2008</v>
      </c>
      <c r="AJ300" s="698" t="s">
        <v>1965</v>
      </c>
      <c r="AK300" s="699">
        <f t="shared" si="50"/>
        <v>67925</v>
      </c>
      <c r="AL300" s="685" t="s">
        <v>159</v>
      </c>
      <c r="AM300" s="699">
        <v>2500</v>
      </c>
      <c r="AN300" s="699">
        <v>1000</v>
      </c>
    </row>
    <row r="301" spans="1:40" x14ac:dyDescent="0.3">
      <c r="B301" s="686"/>
      <c r="C301" s="687">
        <v>300</v>
      </c>
      <c r="D301" s="688"/>
      <c r="E301" s="688"/>
      <c r="F301" s="689"/>
      <c r="G301" s="689">
        <v>61.8</v>
      </c>
      <c r="H301" s="690"/>
      <c r="I301" s="691"/>
      <c r="J301" s="692"/>
      <c r="K301" s="692"/>
      <c r="L301" s="692"/>
      <c r="M301" s="693"/>
      <c r="N301" s="693"/>
      <c r="O301" s="691"/>
      <c r="P301" s="688" t="s">
        <v>1966</v>
      </c>
      <c r="Q301" s="694"/>
      <c r="R301" s="688"/>
      <c r="S301" s="688" t="e">
        <f>+#REF!</f>
        <v>#REF!</v>
      </c>
      <c r="T301" s="688"/>
      <c r="U301" s="694"/>
      <c r="V301" s="688"/>
      <c r="W301" s="695"/>
      <c r="X301" s="696"/>
      <c r="Y301" s="688"/>
      <c r="Z301" s="688"/>
      <c r="AA301" s="688"/>
      <c r="AB301" s="688"/>
      <c r="AC301" s="688"/>
      <c r="AD301" s="688"/>
      <c r="AE301" s="689"/>
      <c r="AF301" s="693"/>
      <c r="AG301" s="688"/>
      <c r="AH301" s="693"/>
      <c r="AI301" s="697">
        <v>2008</v>
      </c>
      <c r="AJ301" s="698" t="s">
        <v>1967</v>
      </c>
      <c r="AK301" s="699">
        <f t="shared" si="50"/>
        <v>67980</v>
      </c>
      <c r="AL301" s="685" t="s">
        <v>159</v>
      </c>
      <c r="AM301" s="699">
        <v>2500</v>
      </c>
      <c r="AN301" s="699">
        <v>1000</v>
      </c>
    </row>
    <row r="302" spans="1:40" x14ac:dyDescent="0.3">
      <c r="B302" s="686"/>
      <c r="C302" s="687">
        <v>301</v>
      </c>
      <c r="D302" s="688"/>
      <c r="E302" s="688"/>
      <c r="F302" s="689"/>
      <c r="G302" s="689">
        <v>49.84</v>
      </c>
      <c r="H302" s="690"/>
      <c r="I302" s="691"/>
      <c r="J302" s="692"/>
      <c r="K302" s="692"/>
      <c r="L302" s="692"/>
      <c r="M302" s="693"/>
      <c r="N302" s="693"/>
      <c r="O302" s="691"/>
      <c r="P302" s="688" t="s">
        <v>1966</v>
      </c>
      <c r="Q302" s="694"/>
      <c r="R302" s="688"/>
      <c r="S302" s="688" t="e">
        <f>+#REF!</f>
        <v>#REF!</v>
      </c>
      <c r="T302" s="688"/>
      <c r="U302" s="694"/>
      <c r="V302" s="688"/>
      <c r="W302" s="695"/>
      <c r="X302" s="696"/>
      <c r="Y302" s="688"/>
      <c r="Z302" s="688"/>
      <c r="AA302" s="688"/>
      <c r="AB302" s="688"/>
      <c r="AC302" s="688"/>
      <c r="AD302" s="688"/>
      <c r="AE302" s="689"/>
      <c r="AF302" s="693"/>
      <c r="AG302" s="688"/>
      <c r="AH302" s="693"/>
      <c r="AI302" s="697">
        <v>2008</v>
      </c>
      <c r="AJ302" s="698" t="s">
        <v>1968</v>
      </c>
      <c r="AK302" s="699">
        <f t="shared" si="50"/>
        <v>54824.000000000007</v>
      </c>
      <c r="AL302" s="685" t="s">
        <v>159</v>
      </c>
      <c r="AM302" s="699">
        <v>2500</v>
      </c>
      <c r="AN302" s="699">
        <v>1000</v>
      </c>
    </row>
    <row r="303" spans="1:40" x14ac:dyDescent="0.3">
      <c r="B303" s="686"/>
      <c r="C303" s="687">
        <v>302</v>
      </c>
      <c r="D303" s="688"/>
      <c r="E303" s="688"/>
      <c r="F303" s="689"/>
      <c r="G303" s="689">
        <v>60.73</v>
      </c>
      <c r="H303" s="690"/>
      <c r="I303" s="691"/>
      <c r="J303" s="692"/>
      <c r="K303" s="692"/>
      <c r="L303" s="692"/>
      <c r="M303" s="693"/>
      <c r="N303" s="693"/>
      <c r="O303" s="691"/>
      <c r="P303" s="688" t="s">
        <v>1966</v>
      </c>
      <c r="Q303" s="694"/>
      <c r="R303" s="688"/>
      <c r="S303" s="688" t="e">
        <f>+#REF!</f>
        <v>#REF!</v>
      </c>
      <c r="T303" s="688"/>
      <c r="U303" s="694"/>
      <c r="V303" s="688"/>
      <c r="W303" s="695"/>
      <c r="X303" s="696"/>
      <c r="Y303" s="688"/>
      <c r="Z303" s="688"/>
      <c r="AA303" s="688"/>
      <c r="AB303" s="688"/>
      <c r="AC303" s="688"/>
      <c r="AD303" s="688"/>
      <c r="AE303" s="689"/>
      <c r="AF303" s="693"/>
      <c r="AG303" s="688"/>
      <c r="AH303" s="693"/>
      <c r="AI303" s="697">
        <v>2008</v>
      </c>
      <c r="AJ303" s="698" t="s">
        <v>1969</v>
      </c>
      <c r="AK303" s="699">
        <f t="shared" si="50"/>
        <v>66803</v>
      </c>
      <c r="AL303" s="685" t="s">
        <v>159</v>
      </c>
      <c r="AM303" s="699">
        <v>2500</v>
      </c>
      <c r="AN303" s="699">
        <v>1000</v>
      </c>
    </row>
    <row r="304" spans="1:40" x14ac:dyDescent="0.3">
      <c r="B304" s="686"/>
      <c r="C304" s="687">
        <v>303</v>
      </c>
      <c r="D304" s="688"/>
      <c r="E304" s="688"/>
      <c r="F304" s="689"/>
      <c r="G304" s="689">
        <v>41.62</v>
      </c>
      <c r="H304" s="690"/>
      <c r="I304" s="691"/>
      <c r="J304" s="692"/>
      <c r="K304" s="692"/>
      <c r="L304" s="692"/>
      <c r="M304" s="693"/>
      <c r="N304" s="693"/>
      <c r="O304" s="691"/>
      <c r="P304" s="688" t="s">
        <v>1966</v>
      </c>
      <c r="Q304" s="694"/>
      <c r="R304" s="688"/>
      <c r="S304" s="688" t="e">
        <f>+#REF!</f>
        <v>#REF!</v>
      </c>
      <c r="T304" s="688"/>
      <c r="U304" s="694"/>
      <c r="V304" s="688"/>
      <c r="W304" s="695"/>
      <c r="X304" s="696"/>
      <c r="Y304" s="688"/>
      <c r="Z304" s="688"/>
      <c r="AA304" s="688"/>
      <c r="AB304" s="688"/>
      <c r="AC304" s="688"/>
      <c r="AD304" s="688"/>
      <c r="AE304" s="689"/>
      <c r="AF304" s="693"/>
      <c r="AG304" s="688"/>
      <c r="AH304" s="693"/>
      <c r="AI304" s="697">
        <v>2008</v>
      </c>
      <c r="AJ304" s="698" t="s">
        <v>1970</v>
      </c>
      <c r="AK304" s="699">
        <f t="shared" si="50"/>
        <v>45782</v>
      </c>
      <c r="AL304" s="685" t="s">
        <v>159</v>
      </c>
      <c r="AM304" s="699">
        <v>2500</v>
      </c>
      <c r="AN304" s="699">
        <v>1000</v>
      </c>
    </row>
    <row r="305" spans="1:41" x14ac:dyDescent="0.3">
      <c r="B305" s="686"/>
      <c r="C305" s="687">
        <v>304</v>
      </c>
      <c r="D305" s="688"/>
      <c r="E305" s="688"/>
      <c r="F305" s="689"/>
      <c r="G305" s="689">
        <v>50.34</v>
      </c>
      <c r="H305" s="690"/>
      <c r="I305" s="691"/>
      <c r="J305" s="692"/>
      <c r="K305" s="692"/>
      <c r="L305" s="692"/>
      <c r="M305" s="693"/>
      <c r="N305" s="693"/>
      <c r="O305" s="691"/>
      <c r="P305" s="688" t="s">
        <v>1966</v>
      </c>
      <c r="Q305" s="694"/>
      <c r="R305" s="688"/>
      <c r="S305" s="688" t="e">
        <f>+#REF!</f>
        <v>#REF!</v>
      </c>
      <c r="T305" s="688"/>
      <c r="U305" s="694"/>
      <c r="V305" s="688"/>
      <c r="W305" s="695"/>
      <c r="X305" s="696"/>
      <c r="Y305" s="688"/>
      <c r="Z305" s="688"/>
      <c r="AA305" s="688"/>
      <c r="AB305" s="688"/>
      <c r="AC305" s="688"/>
      <c r="AD305" s="688"/>
      <c r="AE305" s="689"/>
      <c r="AF305" s="693"/>
      <c r="AG305" s="688"/>
      <c r="AH305" s="693"/>
      <c r="AI305" s="697">
        <v>2008</v>
      </c>
      <c r="AJ305" s="698" t="s">
        <v>1971</v>
      </c>
      <c r="AK305" s="699">
        <f t="shared" si="50"/>
        <v>55374.000000000007</v>
      </c>
      <c r="AL305" s="685" t="s">
        <v>159</v>
      </c>
      <c r="AM305" s="699">
        <v>2500</v>
      </c>
      <c r="AN305" s="699">
        <v>1000</v>
      </c>
    </row>
    <row r="306" spans="1:41" x14ac:dyDescent="0.3">
      <c r="B306" s="686"/>
      <c r="C306" s="687">
        <v>305</v>
      </c>
      <c r="D306" s="688"/>
      <c r="E306" s="688"/>
      <c r="F306" s="689"/>
      <c r="G306" s="689">
        <v>43.32</v>
      </c>
      <c r="H306" s="690"/>
      <c r="I306" s="691"/>
      <c r="J306" s="692"/>
      <c r="K306" s="692"/>
      <c r="L306" s="692"/>
      <c r="M306" s="693"/>
      <c r="N306" s="693"/>
      <c r="O306" s="691"/>
      <c r="P306" s="688" t="s">
        <v>1966</v>
      </c>
      <c r="Q306" s="694"/>
      <c r="R306" s="688"/>
      <c r="S306" s="688" t="e">
        <f>+#REF!</f>
        <v>#REF!</v>
      </c>
      <c r="T306" s="688"/>
      <c r="U306" s="694"/>
      <c r="V306" s="688"/>
      <c r="W306" s="695"/>
      <c r="X306" s="696"/>
      <c r="Y306" s="688"/>
      <c r="Z306" s="688"/>
      <c r="AA306" s="688"/>
      <c r="AB306" s="688"/>
      <c r="AC306" s="688"/>
      <c r="AD306" s="688"/>
      <c r="AE306" s="689"/>
      <c r="AF306" s="693"/>
      <c r="AG306" s="688"/>
      <c r="AH306" s="693"/>
      <c r="AI306" s="697">
        <v>2008</v>
      </c>
      <c r="AJ306" s="698" t="s">
        <v>1972</v>
      </c>
      <c r="AK306" s="699">
        <f t="shared" si="50"/>
        <v>47652</v>
      </c>
      <c r="AL306" s="685" t="s">
        <v>159</v>
      </c>
      <c r="AM306" s="699">
        <v>2500</v>
      </c>
      <c r="AN306" s="699">
        <v>1000</v>
      </c>
    </row>
    <row r="307" spans="1:41" x14ac:dyDescent="0.3">
      <c r="B307" s="686"/>
      <c r="C307" s="687">
        <v>306</v>
      </c>
      <c r="D307" s="688"/>
      <c r="E307" s="688"/>
      <c r="F307" s="689"/>
      <c r="G307" s="689">
        <v>37.75</v>
      </c>
      <c r="H307" s="690"/>
      <c r="I307" s="691"/>
      <c r="J307" s="692"/>
      <c r="K307" s="692"/>
      <c r="L307" s="692"/>
      <c r="M307" s="693"/>
      <c r="N307" s="693"/>
      <c r="O307" s="691"/>
      <c r="P307" s="688" t="s">
        <v>1966</v>
      </c>
      <c r="Q307" s="694"/>
      <c r="R307" s="688"/>
      <c r="S307" s="688" t="e">
        <f>+#REF!</f>
        <v>#REF!</v>
      </c>
      <c r="T307" s="688"/>
      <c r="U307" s="694"/>
      <c r="V307" s="688"/>
      <c r="W307" s="695"/>
      <c r="X307" s="696"/>
      <c r="Y307" s="688"/>
      <c r="Z307" s="688"/>
      <c r="AA307" s="688"/>
      <c r="AB307" s="688"/>
      <c r="AC307" s="688"/>
      <c r="AD307" s="688"/>
      <c r="AE307" s="689"/>
      <c r="AF307" s="693"/>
      <c r="AG307" s="688"/>
      <c r="AH307" s="693"/>
      <c r="AI307" s="697">
        <v>2008</v>
      </c>
      <c r="AJ307" s="698" t="s">
        <v>1973</v>
      </c>
      <c r="AK307" s="699">
        <f t="shared" si="50"/>
        <v>41525</v>
      </c>
      <c r="AL307" s="685" t="s">
        <v>159</v>
      </c>
      <c r="AM307" s="699">
        <v>2500</v>
      </c>
      <c r="AN307" s="699">
        <v>1000</v>
      </c>
    </row>
    <row r="308" spans="1:41" x14ac:dyDescent="0.3">
      <c r="B308" s="686"/>
      <c r="C308" s="687">
        <v>307</v>
      </c>
      <c r="D308" s="688"/>
      <c r="E308" s="688"/>
      <c r="F308" s="689"/>
      <c r="G308" s="689">
        <v>61.46</v>
      </c>
      <c r="H308" s="690"/>
      <c r="I308" s="691"/>
      <c r="J308" s="692"/>
      <c r="K308" s="692"/>
      <c r="L308" s="692"/>
      <c r="M308" s="693"/>
      <c r="N308" s="693"/>
      <c r="O308" s="691"/>
      <c r="P308" s="688" t="s">
        <v>1966</v>
      </c>
      <c r="Q308" s="694"/>
      <c r="R308" s="688"/>
      <c r="S308" s="688" t="e">
        <f>+#REF!</f>
        <v>#REF!</v>
      </c>
      <c r="T308" s="688"/>
      <c r="U308" s="694"/>
      <c r="V308" s="688"/>
      <c r="W308" s="695"/>
      <c r="X308" s="696"/>
      <c r="Y308" s="688"/>
      <c r="Z308" s="688"/>
      <c r="AA308" s="688"/>
      <c r="AB308" s="688"/>
      <c r="AC308" s="688"/>
      <c r="AD308" s="688"/>
      <c r="AE308" s="689"/>
      <c r="AF308" s="693"/>
      <c r="AG308" s="688"/>
      <c r="AH308" s="693"/>
      <c r="AI308" s="697">
        <v>2008</v>
      </c>
      <c r="AJ308" s="698" t="s">
        <v>1974</v>
      </c>
      <c r="AK308" s="699">
        <f t="shared" si="50"/>
        <v>67606</v>
      </c>
      <c r="AL308" s="685" t="s">
        <v>159</v>
      </c>
      <c r="AM308" s="699">
        <v>2500</v>
      </c>
      <c r="AN308" s="699">
        <v>1000</v>
      </c>
    </row>
    <row r="309" spans="1:41" x14ac:dyDescent="0.3">
      <c r="B309" s="686"/>
      <c r="C309" s="687">
        <v>308</v>
      </c>
      <c r="D309" s="688"/>
      <c r="E309" s="688"/>
      <c r="F309" s="689"/>
      <c r="G309" s="689">
        <v>61.56</v>
      </c>
      <c r="H309" s="690"/>
      <c r="I309" s="691"/>
      <c r="J309" s="692"/>
      <c r="K309" s="692"/>
      <c r="L309" s="692"/>
      <c r="M309" s="693"/>
      <c r="N309" s="693"/>
      <c r="O309" s="691"/>
      <c r="P309" s="688" t="s">
        <v>1966</v>
      </c>
      <c r="Q309" s="694"/>
      <c r="R309" s="688"/>
      <c r="S309" s="688" t="e">
        <f>+#REF!</f>
        <v>#REF!</v>
      </c>
      <c r="T309" s="688"/>
      <c r="U309" s="694"/>
      <c r="V309" s="688"/>
      <c r="W309" s="695"/>
      <c r="X309" s="696"/>
      <c r="Y309" s="688"/>
      <c r="Z309" s="688"/>
      <c r="AA309" s="688"/>
      <c r="AB309" s="688"/>
      <c r="AC309" s="688"/>
      <c r="AD309" s="688"/>
      <c r="AE309" s="689"/>
      <c r="AF309" s="693"/>
      <c r="AG309" s="688"/>
      <c r="AH309" s="693"/>
      <c r="AI309" s="697">
        <v>2008</v>
      </c>
      <c r="AJ309" s="698" t="s">
        <v>1975</v>
      </c>
      <c r="AK309" s="699">
        <f t="shared" si="50"/>
        <v>67716</v>
      </c>
      <c r="AL309" s="685" t="s">
        <v>159</v>
      </c>
      <c r="AM309" s="699">
        <v>2500</v>
      </c>
      <c r="AN309" s="699">
        <v>1000</v>
      </c>
    </row>
    <row r="310" spans="1:41" x14ac:dyDescent="0.3">
      <c r="B310" s="686"/>
      <c r="C310" s="687">
        <v>309</v>
      </c>
      <c r="D310" s="688"/>
      <c r="E310" s="688"/>
      <c r="F310" s="689"/>
      <c r="G310" s="689">
        <v>43.83</v>
      </c>
      <c r="H310" s="690"/>
      <c r="I310" s="691"/>
      <c r="J310" s="692"/>
      <c r="K310" s="692"/>
      <c r="L310" s="692"/>
      <c r="M310" s="693"/>
      <c r="N310" s="693"/>
      <c r="O310" s="691"/>
      <c r="P310" s="688" t="s">
        <v>1966</v>
      </c>
      <c r="Q310" s="694"/>
      <c r="R310" s="688"/>
      <c r="S310" s="688" t="e">
        <f>+#REF!</f>
        <v>#REF!</v>
      </c>
      <c r="T310" s="688"/>
      <c r="U310" s="694"/>
      <c r="V310" s="688"/>
      <c r="W310" s="695"/>
      <c r="X310" s="696"/>
      <c r="Y310" s="688"/>
      <c r="Z310" s="688"/>
      <c r="AA310" s="688"/>
      <c r="AB310" s="688"/>
      <c r="AC310" s="688"/>
      <c r="AD310" s="688"/>
      <c r="AE310" s="689"/>
      <c r="AF310" s="693"/>
      <c r="AG310" s="688"/>
      <c r="AH310" s="693"/>
      <c r="AI310" s="697">
        <v>2008</v>
      </c>
      <c r="AJ310" s="698" t="s">
        <v>1976</v>
      </c>
      <c r="AK310" s="699">
        <f t="shared" si="50"/>
        <v>48213</v>
      </c>
      <c r="AL310" s="685" t="s">
        <v>159</v>
      </c>
      <c r="AM310" s="699">
        <v>2500</v>
      </c>
      <c r="AN310" s="699">
        <v>1000</v>
      </c>
    </row>
    <row r="311" spans="1:41" x14ac:dyDescent="0.3">
      <c r="B311" s="686"/>
      <c r="C311" s="687">
        <v>310</v>
      </c>
      <c r="D311" s="688"/>
      <c r="E311" s="688"/>
      <c r="F311" s="689"/>
      <c r="G311" s="689">
        <v>49.64</v>
      </c>
      <c r="H311" s="690"/>
      <c r="I311" s="691"/>
      <c r="J311" s="692"/>
      <c r="K311" s="692"/>
      <c r="L311" s="692"/>
      <c r="M311" s="693"/>
      <c r="N311" s="693"/>
      <c r="O311" s="691"/>
      <c r="P311" s="688" t="s">
        <v>1966</v>
      </c>
      <c r="Q311" s="694"/>
      <c r="R311" s="688"/>
      <c r="S311" s="688" t="e">
        <f>+#REF!</f>
        <v>#REF!</v>
      </c>
      <c r="T311" s="688"/>
      <c r="U311" s="694"/>
      <c r="V311" s="688"/>
      <c r="W311" s="695"/>
      <c r="X311" s="696"/>
      <c r="Y311" s="688"/>
      <c r="Z311" s="688"/>
      <c r="AA311" s="688"/>
      <c r="AB311" s="688"/>
      <c r="AC311" s="688"/>
      <c r="AD311" s="688"/>
      <c r="AE311" s="689"/>
      <c r="AF311" s="693"/>
      <c r="AG311" s="688"/>
      <c r="AH311" s="693"/>
      <c r="AI311" s="697">
        <v>2008</v>
      </c>
      <c r="AJ311" s="698" t="s">
        <v>1977</v>
      </c>
      <c r="AK311" s="699">
        <f t="shared" si="50"/>
        <v>54604</v>
      </c>
      <c r="AL311" s="685" t="s">
        <v>159</v>
      </c>
      <c r="AM311" s="699">
        <v>2500</v>
      </c>
      <c r="AN311" s="699">
        <v>1000</v>
      </c>
    </row>
    <row r="312" spans="1:41" x14ac:dyDescent="0.3">
      <c r="A312" s="669" t="s">
        <v>1978</v>
      </c>
      <c r="B312" s="686">
        <f>+B287+1</f>
        <v>1</v>
      </c>
      <c r="C312" s="687">
        <v>311</v>
      </c>
      <c r="D312" s="688">
        <v>100</v>
      </c>
      <c r="E312" s="688">
        <v>224</v>
      </c>
      <c r="F312" s="689"/>
      <c r="G312" s="689">
        <v>88.63</v>
      </c>
      <c r="H312" s="690">
        <v>0.96599999999999997</v>
      </c>
      <c r="I312" s="691">
        <f t="shared" ref="I312:I372" si="51">+G312*E312*H312*D312*F312/100</f>
        <v>0</v>
      </c>
      <c r="J312" s="692">
        <f t="shared" ref="J312:J372" si="52">ROUND(+I312*M312/(12*100),0)</f>
        <v>0</v>
      </c>
      <c r="K312" s="692">
        <v>0</v>
      </c>
      <c r="L312" s="692">
        <f t="shared" ref="L312:L372" si="53">+J312-K312</f>
        <v>0</v>
      </c>
      <c r="M312" s="693">
        <v>3.81</v>
      </c>
      <c r="N312" s="693">
        <v>0</v>
      </c>
      <c r="O312" s="691">
        <f>ROUND(+I312*N312/(12*100),0)</f>
        <v>0</v>
      </c>
      <c r="P312" s="688" t="s">
        <v>1979</v>
      </c>
      <c r="Q312" s="694">
        <v>5000</v>
      </c>
      <c r="R312" s="688" t="s">
        <v>886</v>
      </c>
      <c r="S312" s="688" t="e">
        <f>+#REF!</f>
        <v>#REF!</v>
      </c>
      <c r="T312" s="688" t="s">
        <v>1979</v>
      </c>
      <c r="U312" s="694">
        <v>5000</v>
      </c>
      <c r="V312" s="688" t="s">
        <v>886</v>
      </c>
      <c r="W312" s="695">
        <v>35309</v>
      </c>
      <c r="X312" s="696" t="s">
        <v>1808</v>
      </c>
      <c r="Y312" s="688" t="s">
        <v>1980</v>
      </c>
      <c r="Z312" s="688" t="s">
        <v>1981</v>
      </c>
      <c r="AA312" s="688" t="s">
        <v>891</v>
      </c>
      <c r="AB312" s="688" t="s">
        <v>891</v>
      </c>
      <c r="AC312" s="688"/>
      <c r="AD312" s="688"/>
      <c r="AE312" s="689">
        <v>11919773.140000001</v>
      </c>
      <c r="AF312" s="693">
        <v>14.36</v>
      </c>
      <c r="AG312" s="688" t="s">
        <v>891</v>
      </c>
      <c r="AH312" s="693">
        <v>4.7100600000000004</v>
      </c>
      <c r="AI312" s="697" t="s">
        <v>1808</v>
      </c>
      <c r="AJ312" s="698" t="s">
        <v>1982</v>
      </c>
      <c r="AK312" s="699">
        <f>G312*800</f>
        <v>70904</v>
      </c>
      <c r="AL312" s="685" t="s">
        <v>159</v>
      </c>
      <c r="AM312" s="699">
        <v>2500</v>
      </c>
      <c r="AN312" s="699">
        <v>1000</v>
      </c>
    </row>
    <row r="313" spans="1:41" x14ac:dyDescent="0.3">
      <c r="A313" s="669" t="s">
        <v>1983</v>
      </c>
      <c r="B313" s="686">
        <f>+B312+1</f>
        <v>2</v>
      </c>
      <c r="C313" s="687">
        <f>+C312+1</f>
        <v>312</v>
      </c>
      <c r="D313" s="688">
        <v>100</v>
      </c>
      <c r="E313" s="688">
        <v>224</v>
      </c>
      <c r="F313" s="689"/>
      <c r="G313" s="689">
        <v>66.58</v>
      </c>
      <c r="H313" s="690">
        <v>1</v>
      </c>
      <c r="I313" s="691">
        <f t="shared" si="51"/>
        <v>0</v>
      </c>
      <c r="J313" s="692">
        <f t="shared" si="52"/>
        <v>0</v>
      </c>
      <c r="K313" s="692">
        <v>0</v>
      </c>
      <c r="L313" s="692">
        <f t="shared" si="53"/>
        <v>0</v>
      </c>
      <c r="M313" s="693">
        <v>3.81</v>
      </c>
      <c r="N313" s="693">
        <v>0</v>
      </c>
      <c r="O313" s="691">
        <f>ROUND(+I313*N313/(12*100),0)</f>
        <v>0</v>
      </c>
      <c r="P313" s="688" t="s">
        <v>1979</v>
      </c>
      <c r="Q313" s="694">
        <v>5000</v>
      </c>
      <c r="R313" s="688" t="s">
        <v>886</v>
      </c>
      <c r="S313" s="688" t="e">
        <f>+#REF!</f>
        <v>#REF!</v>
      </c>
      <c r="T313" s="688" t="s">
        <v>1979</v>
      </c>
      <c r="U313" s="694">
        <v>5000</v>
      </c>
      <c r="V313" s="688" t="s">
        <v>886</v>
      </c>
      <c r="W313" s="695">
        <v>35621</v>
      </c>
      <c r="X313" s="696" t="s">
        <v>1808</v>
      </c>
      <c r="Y313" s="688" t="s">
        <v>1984</v>
      </c>
      <c r="Z313" s="688" t="s">
        <v>1985</v>
      </c>
      <c r="AA313" s="688" t="s">
        <v>891</v>
      </c>
      <c r="AB313" s="688" t="s">
        <v>891</v>
      </c>
      <c r="AC313" s="688"/>
      <c r="AD313" s="688"/>
      <c r="AE313" s="689">
        <v>9269448.6999999993</v>
      </c>
      <c r="AF313" s="693">
        <v>11.17</v>
      </c>
      <c r="AG313" s="688" t="s">
        <v>891</v>
      </c>
      <c r="AH313" s="693">
        <v>3.662792</v>
      </c>
      <c r="AI313" s="697" t="s">
        <v>1808</v>
      </c>
      <c r="AJ313" s="698" t="s">
        <v>1986</v>
      </c>
      <c r="AK313" s="699">
        <f>G313*800</f>
        <v>53264</v>
      </c>
      <c r="AL313" s="685" t="s">
        <v>159</v>
      </c>
      <c r="AM313" s="699">
        <v>2500</v>
      </c>
      <c r="AN313" s="699">
        <v>1000</v>
      </c>
    </row>
    <row r="314" spans="1:41" x14ac:dyDescent="0.3">
      <c r="A314" s="669" t="s">
        <v>1987</v>
      </c>
      <c r="B314" s="686">
        <f>+B313+1</f>
        <v>3</v>
      </c>
      <c r="C314" s="687">
        <f>+C313+1</f>
        <v>313</v>
      </c>
      <c r="D314" s="688">
        <v>100</v>
      </c>
      <c r="E314" s="688">
        <v>232</v>
      </c>
      <c r="F314" s="689"/>
      <c r="G314" s="689">
        <v>34.380000000000003</v>
      </c>
      <c r="H314" s="690">
        <v>1.0569999999999999</v>
      </c>
      <c r="I314" s="691">
        <f t="shared" si="51"/>
        <v>0</v>
      </c>
      <c r="J314" s="692">
        <f t="shared" si="52"/>
        <v>0</v>
      </c>
      <c r="K314" s="692">
        <v>0</v>
      </c>
      <c r="L314" s="692">
        <f t="shared" si="53"/>
        <v>0</v>
      </c>
      <c r="M314" s="693">
        <v>3.81</v>
      </c>
      <c r="N314" s="693">
        <v>0</v>
      </c>
      <c r="O314" s="691">
        <f>ROUND(+I314*N314/(12*100),0)</f>
        <v>0</v>
      </c>
      <c r="P314" s="688" t="s">
        <v>1988</v>
      </c>
      <c r="Q314" s="694">
        <v>5000</v>
      </c>
      <c r="R314" s="688" t="s">
        <v>886</v>
      </c>
      <c r="S314" s="688" t="e">
        <f>+#REF!</f>
        <v>#REF!</v>
      </c>
      <c r="T314" s="688" t="s">
        <v>1988</v>
      </c>
      <c r="U314" s="694">
        <v>5000</v>
      </c>
      <c r="V314" s="688" t="s">
        <v>886</v>
      </c>
      <c r="W314" s="695">
        <v>34495</v>
      </c>
      <c r="X314" s="696" t="s">
        <v>1422</v>
      </c>
      <c r="Y314" s="688" t="s">
        <v>1989</v>
      </c>
      <c r="Z314" s="688" t="s">
        <v>1990</v>
      </c>
      <c r="AA314" s="688" t="s">
        <v>891</v>
      </c>
      <c r="AB314" s="688" t="s">
        <v>891</v>
      </c>
      <c r="AC314" s="688"/>
      <c r="AD314" s="688"/>
      <c r="AE314" s="689">
        <v>5239995.82</v>
      </c>
      <c r="AF314" s="693">
        <v>3.7018499999999999</v>
      </c>
      <c r="AG314" s="688" t="s">
        <v>891</v>
      </c>
      <c r="AH314" s="693">
        <v>3.7018499999999999</v>
      </c>
      <c r="AI314" s="697" t="s">
        <v>1422</v>
      </c>
      <c r="AJ314" s="698" t="s">
        <v>1991</v>
      </c>
      <c r="AK314" s="699">
        <f>G314*900</f>
        <v>30942.000000000004</v>
      </c>
      <c r="AL314" s="685" t="s">
        <v>159</v>
      </c>
      <c r="AM314" s="699">
        <v>2500</v>
      </c>
      <c r="AN314" s="699">
        <v>1000</v>
      </c>
    </row>
    <row r="315" spans="1:41" x14ac:dyDescent="0.3">
      <c r="B315" s="686"/>
      <c r="C315" s="687">
        <v>314</v>
      </c>
      <c r="D315" s="688"/>
      <c r="E315" s="688"/>
      <c r="F315" s="689"/>
      <c r="G315" s="689">
        <v>48.92</v>
      </c>
      <c r="H315" s="690"/>
      <c r="I315" s="691"/>
      <c r="J315" s="692"/>
      <c r="K315" s="692"/>
      <c r="L315" s="692"/>
      <c r="M315" s="693"/>
      <c r="N315" s="693"/>
      <c r="O315" s="691"/>
      <c r="P315" s="688" t="s">
        <v>1992</v>
      </c>
      <c r="Q315" s="694"/>
      <c r="R315" s="688"/>
      <c r="S315" s="688" t="e">
        <f>+#REF!</f>
        <v>#REF!</v>
      </c>
      <c r="T315" s="688"/>
      <c r="U315" s="694"/>
      <c r="V315" s="688"/>
      <c r="W315" s="695"/>
      <c r="X315" s="696"/>
      <c r="Y315" s="688"/>
      <c r="Z315" s="688"/>
      <c r="AA315" s="688"/>
      <c r="AB315" s="688"/>
      <c r="AC315" s="688"/>
      <c r="AD315" s="688"/>
      <c r="AE315" s="689"/>
      <c r="AF315" s="693"/>
      <c r="AG315" s="688"/>
      <c r="AH315" s="693"/>
      <c r="AI315" s="697">
        <v>2010</v>
      </c>
      <c r="AJ315" s="698" t="s">
        <v>1993</v>
      </c>
      <c r="AK315" s="699">
        <f>G315*1100</f>
        <v>53812</v>
      </c>
      <c r="AL315" s="685" t="s">
        <v>159</v>
      </c>
      <c r="AM315" s="699">
        <v>2500</v>
      </c>
      <c r="AN315" s="699">
        <v>1000</v>
      </c>
      <c r="AO315" s="999">
        <v>5000</v>
      </c>
    </row>
    <row r="316" spans="1:41" x14ac:dyDescent="0.3">
      <c r="B316" s="686"/>
      <c r="C316" s="687">
        <v>315</v>
      </c>
      <c r="D316" s="688"/>
      <c r="E316" s="688"/>
      <c r="F316" s="689"/>
      <c r="G316" s="689">
        <v>47.17</v>
      </c>
      <c r="H316" s="690"/>
      <c r="I316" s="691"/>
      <c r="J316" s="692"/>
      <c r="K316" s="692"/>
      <c r="L316" s="692"/>
      <c r="M316" s="693"/>
      <c r="N316" s="693"/>
      <c r="O316" s="691"/>
      <c r="P316" s="688" t="s">
        <v>1992</v>
      </c>
      <c r="Q316" s="694"/>
      <c r="R316" s="688"/>
      <c r="S316" s="688" t="e">
        <f>+#REF!</f>
        <v>#REF!</v>
      </c>
      <c r="T316" s="688"/>
      <c r="U316" s="694"/>
      <c r="V316" s="688"/>
      <c r="W316" s="695"/>
      <c r="X316" s="696"/>
      <c r="Y316" s="688"/>
      <c r="Z316" s="688"/>
      <c r="AA316" s="688"/>
      <c r="AB316" s="688"/>
      <c r="AC316" s="688"/>
      <c r="AD316" s="688"/>
      <c r="AE316" s="689"/>
      <c r="AF316" s="693"/>
      <c r="AG316" s="688"/>
      <c r="AH316" s="693"/>
      <c r="AI316" s="697">
        <v>2010</v>
      </c>
      <c r="AJ316" s="698" t="s">
        <v>1994</v>
      </c>
      <c r="AK316" s="699">
        <f t="shared" ref="AK316:AK339" si="54">G316*1100</f>
        <v>51887</v>
      </c>
      <c r="AL316" s="685" t="s">
        <v>159</v>
      </c>
      <c r="AM316" s="699">
        <v>2500</v>
      </c>
      <c r="AN316" s="699">
        <v>1000</v>
      </c>
      <c r="AO316" s="1000"/>
    </row>
    <row r="317" spans="1:41" x14ac:dyDescent="0.3">
      <c r="B317" s="686"/>
      <c r="C317" s="687">
        <v>316</v>
      </c>
      <c r="D317" s="688"/>
      <c r="E317" s="688"/>
      <c r="F317" s="689"/>
      <c r="G317" s="689">
        <v>50.26</v>
      </c>
      <c r="H317" s="690"/>
      <c r="I317" s="691"/>
      <c r="J317" s="692"/>
      <c r="K317" s="692"/>
      <c r="L317" s="692"/>
      <c r="M317" s="693"/>
      <c r="N317" s="693"/>
      <c r="O317" s="691"/>
      <c r="P317" s="688" t="s">
        <v>1992</v>
      </c>
      <c r="Q317" s="694"/>
      <c r="R317" s="688"/>
      <c r="S317" s="688" t="e">
        <f>+#REF!</f>
        <v>#REF!</v>
      </c>
      <c r="T317" s="688"/>
      <c r="U317" s="694"/>
      <c r="V317" s="688"/>
      <c r="W317" s="695"/>
      <c r="X317" s="696"/>
      <c r="Y317" s="688"/>
      <c r="Z317" s="688"/>
      <c r="AA317" s="688"/>
      <c r="AB317" s="688"/>
      <c r="AC317" s="688"/>
      <c r="AD317" s="688"/>
      <c r="AE317" s="689"/>
      <c r="AF317" s="693"/>
      <c r="AG317" s="688"/>
      <c r="AH317" s="693"/>
      <c r="AI317" s="697">
        <v>2010</v>
      </c>
      <c r="AJ317" s="698" t="s">
        <v>1995</v>
      </c>
      <c r="AK317" s="699">
        <f t="shared" si="54"/>
        <v>55286</v>
      </c>
      <c r="AL317" s="685" t="s">
        <v>159</v>
      </c>
      <c r="AM317" s="699">
        <v>2500</v>
      </c>
      <c r="AN317" s="699">
        <v>1000</v>
      </c>
      <c r="AO317" s="1000"/>
    </row>
    <row r="318" spans="1:41" x14ac:dyDescent="0.3">
      <c r="B318" s="686"/>
      <c r="C318" s="687">
        <v>317</v>
      </c>
      <c r="D318" s="688"/>
      <c r="E318" s="688"/>
      <c r="F318" s="689"/>
      <c r="G318" s="689">
        <v>50.61</v>
      </c>
      <c r="H318" s="690"/>
      <c r="I318" s="691"/>
      <c r="J318" s="692"/>
      <c r="K318" s="692"/>
      <c r="L318" s="692"/>
      <c r="M318" s="693"/>
      <c r="N318" s="693"/>
      <c r="O318" s="691"/>
      <c r="P318" s="688" t="s">
        <v>1992</v>
      </c>
      <c r="Q318" s="694"/>
      <c r="R318" s="688"/>
      <c r="S318" s="688" t="e">
        <f>+#REF!</f>
        <v>#REF!</v>
      </c>
      <c r="T318" s="688"/>
      <c r="U318" s="694"/>
      <c r="V318" s="688"/>
      <c r="W318" s="695"/>
      <c r="X318" s="696"/>
      <c r="Y318" s="688"/>
      <c r="Z318" s="688"/>
      <c r="AA318" s="688"/>
      <c r="AB318" s="688"/>
      <c r="AC318" s="688"/>
      <c r="AD318" s="688"/>
      <c r="AE318" s="689"/>
      <c r="AF318" s="693"/>
      <c r="AG318" s="688"/>
      <c r="AH318" s="693"/>
      <c r="AI318" s="697">
        <v>2010</v>
      </c>
      <c r="AJ318" s="698" t="s">
        <v>1996</v>
      </c>
      <c r="AK318" s="699">
        <f t="shared" si="54"/>
        <v>55671</v>
      </c>
      <c r="AL318" s="685" t="s">
        <v>159</v>
      </c>
      <c r="AM318" s="699">
        <v>2500</v>
      </c>
      <c r="AN318" s="699">
        <v>1000</v>
      </c>
      <c r="AO318" s="1000"/>
    </row>
    <row r="319" spans="1:41" x14ac:dyDescent="0.3">
      <c r="B319" s="686"/>
      <c r="C319" s="687">
        <v>318</v>
      </c>
      <c r="D319" s="688"/>
      <c r="E319" s="688"/>
      <c r="F319" s="689"/>
      <c r="G319" s="689">
        <v>54.38</v>
      </c>
      <c r="H319" s="690"/>
      <c r="I319" s="691"/>
      <c r="J319" s="692"/>
      <c r="K319" s="692"/>
      <c r="L319" s="692"/>
      <c r="M319" s="693"/>
      <c r="N319" s="693"/>
      <c r="O319" s="691"/>
      <c r="P319" s="688" t="s">
        <v>1992</v>
      </c>
      <c r="Q319" s="694"/>
      <c r="R319" s="688"/>
      <c r="S319" s="688" t="e">
        <f>+#REF!</f>
        <v>#REF!</v>
      </c>
      <c r="T319" s="688"/>
      <c r="U319" s="694"/>
      <c r="V319" s="688"/>
      <c r="W319" s="695"/>
      <c r="X319" s="696"/>
      <c r="Y319" s="688"/>
      <c r="Z319" s="688"/>
      <c r="AA319" s="688"/>
      <c r="AB319" s="688"/>
      <c r="AC319" s="688"/>
      <c r="AD319" s="688"/>
      <c r="AE319" s="689"/>
      <c r="AF319" s="693"/>
      <c r="AG319" s="688"/>
      <c r="AH319" s="693"/>
      <c r="AI319" s="697">
        <v>2010</v>
      </c>
      <c r="AJ319" s="698" t="s">
        <v>1997</v>
      </c>
      <c r="AK319" s="699">
        <f t="shared" si="54"/>
        <v>59818</v>
      </c>
      <c r="AL319" s="685" t="s">
        <v>159</v>
      </c>
      <c r="AM319" s="699">
        <v>2500</v>
      </c>
      <c r="AN319" s="699">
        <v>1000</v>
      </c>
      <c r="AO319" s="1000"/>
    </row>
    <row r="320" spans="1:41" x14ac:dyDescent="0.3">
      <c r="B320" s="686"/>
      <c r="C320" s="687">
        <v>319</v>
      </c>
      <c r="D320" s="688"/>
      <c r="E320" s="688"/>
      <c r="F320" s="689"/>
      <c r="G320" s="689">
        <v>66.13</v>
      </c>
      <c r="H320" s="690"/>
      <c r="I320" s="691"/>
      <c r="J320" s="692"/>
      <c r="K320" s="692"/>
      <c r="L320" s="692"/>
      <c r="M320" s="693"/>
      <c r="N320" s="693"/>
      <c r="O320" s="691"/>
      <c r="P320" s="688" t="s">
        <v>1992</v>
      </c>
      <c r="Q320" s="694"/>
      <c r="R320" s="688"/>
      <c r="S320" s="688" t="e">
        <f>+#REF!</f>
        <v>#REF!</v>
      </c>
      <c r="T320" s="688"/>
      <c r="U320" s="694"/>
      <c r="V320" s="688"/>
      <c r="W320" s="695"/>
      <c r="X320" s="696"/>
      <c r="Y320" s="688"/>
      <c r="Z320" s="688"/>
      <c r="AA320" s="688"/>
      <c r="AB320" s="688"/>
      <c r="AC320" s="688"/>
      <c r="AD320" s="688"/>
      <c r="AE320" s="689"/>
      <c r="AF320" s="693"/>
      <c r="AG320" s="688"/>
      <c r="AH320" s="693"/>
      <c r="AI320" s="697">
        <v>2010</v>
      </c>
      <c r="AJ320" s="698" t="s">
        <v>1998</v>
      </c>
      <c r="AK320" s="699">
        <f t="shared" si="54"/>
        <v>72743</v>
      </c>
      <c r="AL320" s="685" t="s">
        <v>159</v>
      </c>
      <c r="AM320" s="699">
        <v>2500</v>
      </c>
      <c r="AN320" s="699">
        <v>1000</v>
      </c>
      <c r="AO320" s="1000"/>
    </row>
    <row r="321" spans="1:41" x14ac:dyDescent="0.3">
      <c r="B321" s="686"/>
      <c r="C321" s="687">
        <v>320</v>
      </c>
      <c r="D321" s="688"/>
      <c r="E321" s="688"/>
      <c r="F321" s="689"/>
      <c r="G321" s="689">
        <v>74.97</v>
      </c>
      <c r="H321" s="690"/>
      <c r="I321" s="691"/>
      <c r="J321" s="692"/>
      <c r="K321" s="692"/>
      <c r="L321" s="692"/>
      <c r="M321" s="693"/>
      <c r="N321" s="693"/>
      <c r="O321" s="691"/>
      <c r="P321" s="688" t="s">
        <v>1992</v>
      </c>
      <c r="Q321" s="694"/>
      <c r="R321" s="688"/>
      <c r="S321" s="688" t="e">
        <f>+#REF!</f>
        <v>#REF!</v>
      </c>
      <c r="T321" s="688"/>
      <c r="U321" s="694"/>
      <c r="V321" s="688"/>
      <c r="W321" s="695"/>
      <c r="X321" s="696"/>
      <c r="Y321" s="688"/>
      <c r="Z321" s="688"/>
      <c r="AA321" s="688"/>
      <c r="AB321" s="688"/>
      <c r="AC321" s="688"/>
      <c r="AD321" s="688"/>
      <c r="AE321" s="689"/>
      <c r="AF321" s="693"/>
      <c r="AG321" s="688"/>
      <c r="AH321" s="693"/>
      <c r="AI321" s="697">
        <v>2010</v>
      </c>
      <c r="AJ321" s="698" t="s">
        <v>1999</v>
      </c>
      <c r="AK321" s="699">
        <f t="shared" si="54"/>
        <v>82467</v>
      </c>
      <c r="AL321" s="685" t="s">
        <v>159</v>
      </c>
      <c r="AM321" s="699">
        <v>2500</v>
      </c>
      <c r="AN321" s="699">
        <v>1000</v>
      </c>
      <c r="AO321" s="1000"/>
    </row>
    <row r="322" spans="1:41" x14ac:dyDescent="0.3">
      <c r="B322" s="686"/>
      <c r="C322" s="687">
        <v>321</v>
      </c>
      <c r="D322" s="688"/>
      <c r="E322" s="688"/>
      <c r="F322" s="689"/>
      <c r="G322" s="689">
        <v>53.92</v>
      </c>
      <c r="H322" s="690"/>
      <c r="I322" s="691"/>
      <c r="J322" s="692"/>
      <c r="K322" s="692"/>
      <c r="L322" s="692"/>
      <c r="M322" s="693"/>
      <c r="N322" s="693"/>
      <c r="O322" s="691"/>
      <c r="P322" s="688" t="s">
        <v>2000</v>
      </c>
      <c r="Q322" s="694"/>
      <c r="R322" s="688"/>
      <c r="S322" s="688" t="e">
        <f>+#REF!</f>
        <v>#REF!</v>
      </c>
      <c r="T322" s="688"/>
      <c r="U322" s="694"/>
      <c r="V322" s="688"/>
      <c r="W322" s="695"/>
      <c r="X322" s="696"/>
      <c r="Y322" s="688"/>
      <c r="Z322" s="688"/>
      <c r="AA322" s="688"/>
      <c r="AB322" s="688"/>
      <c r="AC322" s="688"/>
      <c r="AD322" s="688"/>
      <c r="AE322" s="689"/>
      <c r="AF322" s="693"/>
      <c r="AG322" s="688"/>
      <c r="AH322" s="693"/>
      <c r="AI322" s="697">
        <v>2010</v>
      </c>
      <c r="AJ322" s="698" t="s">
        <v>2001</v>
      </c>
      <c r="AK322" s="699">
        <f t="shared" si="54"/>
        <v>59312</v>
      </c>
      <c r="AL322" s="685" t="s">
        <v>159</v>
      </c>
      <c r="AM322" s="699">
        <v>2500</v>
      </c>
      <c r="AN322" s="699">
        <v>1000</v>
      </c>
      <c r="AO322" s="999">
        <v>5000</v>
      </c>
    </row>
    <row r="323" spans="1:41" x14ac:dyDescent="0.3">
      <c r="B323" s="686"/>
      <c r="C323" s="687">
        <v>322</v>
      </c>
      <c r="D323" s="688"/>
      <c r="E323" s="688"/>
      <c r="F323" s="689"/>
      <c r="G323" s="689">
        <v>51.85</v>
      </c>
      <c r="H323" s="690"/>
      <c r="I323" s="691"/>
      <c r="J323" s="692"/>
      <c r="K323" s="692"/>
      <c r="L323" s="692"/>
      <c r="M323" s="693"/>
      <c r="N323" s="693"/>
      <c r="O323" s="691"/>
      <c r="P323" s="688" t="s">
        <v>2000</v>
      </c>
      <c r="Q323" s="694"/>
      <c r="R323" s="688"/>
      <c r="S323" s="688" t="e">
        <f>+#REF!</f>
        <v>#REF!</v>
      </c>
      <c r="T323" s="688"/>
      <c r="U323" s="694"/>
      <c r="V323" s="688"/>
      <c r="W323" s="695"/>
      <c r="X323" s="696"/>
      <c r="Y323" s="688"/>
      <c r="Z323" s="688"/>
      <c r="AA323" s="688"/>
      <c r="AB323" s="688"/>
      <c r="AC323" s="688"/>
      <c r="AD323" s="688"/>
      <c r="AE323" s="689"/>
      <c r="AF323" s="693"/>
      <c r="AG323" s="688"/>
      <c r="AH323" s="693"/>
      <c r="AI323" s="697">
        <v>2010</v>
      </c>
      <c r="AJ323" s="698" t="s">
        <v>2002</v>
      </c>
      <c r="AK323" s="699">
        <f t="shared" si="54"/>
        <v>57035</v>
      </c>
      <c r="AL323" s="685" t="s">
        <v>159</v>
      </c>
      <c r="AM323" s="699">
        <v>2500</v>
      </c>
      <c r="AN323" s="699">
        <v>1000</v>
      </c>
      <c r="AO323" s="1000"/>
    </row>
    <row r="324" spans="1:41" x14ac:dyDescent="0.3">
      <c r="B324" s="686"/>
      <c r="C324" s="687">
        <v>323</v>
      </c>
      <c r="D324" s="688"/>
      <c r="E324" s="688"/>
      <c r="F324" s="689"/>
      <c r="G324" s="689">
        <v>89.88</v>
      </c>
      <c r="H324" s="690"/>
      <c r="I324" s="691"/>
      <c r="J324" s="692"/>
      <c r="K324" s="692"/>
      <c r="L324" s="692"/>
      <c r="M324" s="693"/>
      <c r="N324" s="693"/>
      <c r="O324" s="691"/>
      <c r="P324" s="688" t="s">
        <v>2000</v>
      </c>
      <c r="Q324" s="694"/>
      <c r="R324" s="688"/>
      <c r="S324" s="688" t="e">
        <f>+#REF!</f>
        <v>#REF!</v>
      </c>
      <c r="T324" s="688"/>
      <c r="U324" s="694"/>
      <c r="V324" s="688"/>
      <c r="W324" s="695"/>
      <c r="X324" s="696"/>
      <c r="Y324" s="688"/>
      <c r="Z324" s="688"/>
      <c r="AA324" s="688"/>
      <c r="AB324" s="688"/>
      <c r="AC324" s="688"/>
      <c r="AD324" s="688"/>
      <c r="AE324" s="689"/>
      <c r="AF324" s="693"/>
      <c r="AG324" s="688"/>
      <c r="AH324" s="693"/>
      <c r="AI324" s="697">
        <v>2010</v>
      </c>
      <c r="AJ324" s="698" t="s">
        <v>2003</v>
      </c>
      <c r="AK324" s="699">
        <f t="shared" si="54"/>
        <v>98868</v>
      </c>
      <c r="AL324" s="685" t="s">
        <v>159</v>
      </c>
      <c r="AM324" s="699">
        <v>2500</v>
      </c>
      <c r="AN324" s="699">
        <v>1000</v>
      </c>
      <c r="AO324" s="1000"/>
    </row>
    <row r="325" spans="1:41" x14ac:dyDescent="0.3">
      <c r="B325" s="686"/>
      <c r="C325" s="687">
        <v>324</v>
      </c>
      <c r="D325" s="688"/>
      <c r="E325" s="688"/>
      <c r="F325" s="689"/>
      <c r="G325" s="689">
        <v>42.77</v>
      </c>
      <c r="H325" s="690"/>
      <c r="I325" s="691"/>
      <c r="J325" s="692"/>
      <c r="K325" s="692"/>
      <c r="L325" s="692"/>
      <c r="M325" s="693"/>
      <c r="N325" s="693"/>
      <c r="O325" s="691"/>
      <c r="P325" s="688" t="s">
        <v>2000</v>
      </c>
      <c r="Q325" s="694"/>
      <c r="R325" s="688"/>
      <c r="S325" s="688" t="e">
        <f>+#REF!</f>
        <v>#REF!</v>
      </c>
      <c r="T325" s="688"/>
      <c r="U325" s="694"/>
      <c r="V325" s="688"/>
      <c r="W325" s="695"/>
      <c r="X325" s="696"/>
      <c r="Y325" s="688"/>
      <c r="Z325" s="688"/>
      <c r="AA325" s="688"/>
      <c r="AB325" s="688"/>
      <c r="AC325" s="688"/>
      <c r="AD325" s="688"/>
      <c r="AE325" s="689"/>
      <c r="AF325" s="693"/>
      <c r="AG325" s="688"/>
      <c r="AH325" s="693"/>
      <c r="AI325" s="697">
        <v>2010</v>
      </c>
      <c r="AJ325" s="698" t="s">
        <v>2004</v>
      </c>
      <c r="AK325" s="699">
        <f t="shared" si="54"/>
        <v>47047</v>
      </c>
      <c r="AL325" s="685" t="s">
        <v>159</v>
      </c>
      <c r="AM325" s="699">
        <v>2500</v>
      </c>
      <c r="AN325" s="699">
        <v>1000</v>
      </c>
      <c r="AO325" s="1000"/>
    </row>
    <row r="326" spans="1:41" x14ac:dyDescent="0.3">
      <c r="B326" s="686"/>
      <c r="C326" s="687">
        <v>325</v>
      </c>
      <c r="D326" s="688"/>
      <c r="E326" s="688"/>
      <c r="F326" s="689"/>
      <c r="G326" s="689">
        <v>50.92</v>
      </c>
      <c r="H326" s="690"/>
      <c r="I326" s="691"/>
      <c r="J326" s="692"/>
      <c r="K326" s="692"/>
      <c r="L326" s="692"/>
      <c r="M326" s="693"/>
      <c r="N326" s="693"/>
      <c r="O326" s="691"/>
      <c r="P326" s="688" t="s">
        <v>2000</v>
      </c>
      <c r="Q326" s="694"/>
      <c r="R326" s="688"/>
      <c r="S326" s="688" t="e">
        <f>+#REF!</f>
        <v>#REF!</v>
      </c>
      <c r="T326" s="688"/>
      <c r="U326" s="694"/>
      <c r="V326" s="688"/>
      <c r="W326" s="695"/>
      <c r="X326" s="696"/>
      <c r="Y326" s="688"/>
      <c r="Z326" s="688"/>
      <c r="AA326" s="688"/>
      <c r="AB326" s="688"/>
      <c r="AC326" s="688"/>
      <c r="AD326" s="688"/>
      <c r="AE326" s="689"/>
      <c r="AF326" s="693"/>
      <c r="AG326" s="688"/>
      <c r="AH326" s="693"/>
      <c r="AI326" s="697">
        <v>2010</v>
      </c>
      <c r="AJ326" s="698" t="s">
        <v>2005</v>
      </c>
      <c r="AK326" s="699">
        <f t="shared" si="54"/>
        <v>56012</v>
      </c>
      <c r="AL326" s="685" t="s">
        <v>159</v>
      </c>
      <c r="AM326" s="699">
        <v>2500</v>
      </c>
      <c r="AN326" s="699">
        <v>1000</v>
      </c>
      <c r="AO326" s="1000"/>
    </row>
    <row r="327" spans="1:41" x14ac:dyDescent="0.3">
      <c r="B327" s="686"/>
      <c r="C327" s="687">
        <v>326</v>
      </c>
      <c r="D327" s="688"/>
      <c r="E327" s="688"/>
      <c r="F327" s="689"/>
      <c r="G327" s="689">
        <v>48.87</v>
      </c>
      <c r="H327" s="690"/>
      <c r="I327" s="691"/>
      <c r="J327" s="692"/>
      <c r="K327" s="692"/>
      <c r="L327" s="692"/>
      <c r="M327" s="693"/>
      <c r="N327" s="693"/>
      <c r="O327" s="691"/>
      <c r="P327" s="688" t="s">
        <v>2000</v>
      </c>
      <c r="Q327" s="694"/>
      <c r="R327" s="688"/>
      <c r="S327" s="688" t="e">
        <f>+#REF!</f>
        <v>#REF!</v>
      </c>
      <c r="T327" s="688"/>
      <c r="U327" s="694"/>
      <c r="V327" s="688"/>
      <c r="W327" s="695"/>
      <c r="X327" s="696"/>
      <c r="Y327" s="688"/>
      <c r="Z327" s="688"/>
      <c r="AA327" s="688"/>
      <c r="AB327" s="688"/>
      <c r="AC327" s="688"/>
      <c r="AD327" s="688"/>
      <c r="AE327" s="689"/>
      <c r="AF327" s="693"/>
      <c r="AG327" s="688"/>
      <c r="AH327" s="693"/>
      <c r="AI327" s="697">
        <v>2010</v>
      </c>
      <c r="AJ327" s="698" t="s">
        <v>2006</v>
      </c>
      <c r="AK327" s="699">
        <f t="shared" si="54"/>
        <v>53757</v>
      </c>
      <c r="AL327" s="685" t="s">
        <v>159</v>
      </c>
      <c r="AM327" s="699">
        <v>2500</v>
      </c>
      <c r="AN327" s="699">
        <v>1000</v>
      </c>
      <c r="AO327" s="1000"/>
    </row>
    <row r="328" spans="1:41" x14ac:dyDescent="0.3">
      <c r="B328" s="686"/>
      <c r="C328" s="687">
        <v>327</v>
      </c>
      <c r="D328" s="688"/>
      <c r="E328" s="688"/>
      <c r="F328" s="689"/>
      <c r="G328" s="689">
        <v>48.63</v>
      </c>
      <c r="H328" s="690"/>
      <c r="I328" s="691"/>
      <c r="J328" s="692"/>
      <c r="K328" s="692"/>
      <c r="L328" s="692"/>
      <c r="M328" s="693"/>
      <c r="N328" s="693"/>
      <c r="O328" s="691"/>
      <c r="P328" s="688" t="s">
        <v>2000</v>
      </c>
      <c r="Q328" s="694"/>
      <c r="R328" s="688"/>
      <c r="S328" s="688" t="e">
        <f>+#REF!</f>
        <v>#REF!</v>
      </c>
      <c r="T328" s="688"/>
      <c r="U328" s="694"/>
      <c r="V328" s="688"/>
      <c r="W328" s="695"/>
      <c r="X328" s="696"/>
      <c r="Y328" s="688"/>
      <c r="Z328" s="688"/>
      <c r="AA328" s="688"/>
      <c r="AB328" s="688"/>
      <c r="AC328" s="688"/>
      <c r="AD328" s="688"/>
      <c r="AE328" s="689"/>
      <c r="AF328" s="693"/>
      <c r="AG328" s="688"/>
      <c r="AH328" s="693"/>
      <c r="AI328" s="697">
        <v>2010</v>
      </c>
      <c r="AJ328" s="698" t="s">
        <v>2007</v>
      </c>
      <c r="AK328" s="699">
        <f t="shared" si="54"/>
        <v>53493</v>
      </c>
      <c r="AL328" s="685" t="s">
        <v>159</v>
      </c>
      <c r="AM328" s="699">
        <v>2500</v>
      </c>
      <c r="AN328" s="699">
        <v>1000</v>
      </c>
      <c r="AO328" s="1000"/>
    </row>
    <row r="329" spans="1:41" x14ac:dyDescent="0.3">
      <c r="B329" s="686"/>
      <c r="C329" s="687">
        <v>328</v>
      </c>
      <c r="D329" s="688"/>
      <c r="E329" s="688"/>
      <c r="F329" s="689"/>
      <c r="G329" s="689">
        <v>21.66</v>
      </c>
      <c r="H329" s="690"/>
      <c r="I329" s="691"/>
      <c r="J329" s="692"/>
      <c r="K329" s="692"/>
      <c r="L329" s="692"/>
      <c r="M329" s="693"/>
      <c r="N329" s="693"/>
      <c r="O329" s="691"/>
      <c r="P329" s="688" t="s">
        <v>2000</v>
      </c>
      <c r="Q329" s="694"/>
      <c r="R329" s="688"/>
      <c r="S329" s="688" t="e">
        <f>+#REF!</f>
        <v>#REF!</v>
      </c>
      <c r="T329" s="688"/>
      <c r="U329" s="694"/>
      <c r="V329" s="688"/>
      <c r="W329" s="695"/>
      <c r="X329" s="696"/>
      <c r="Y329" s="688"/>
      <c r="Z329" s="688"/>
      <c r="AA329" s="688"/>
      <c r="AB329" s="688"/>
      <c r="AC329" s="688"/>
      <c r="AD329" s="688"/>
      <c r="AE329" s="689"/>
      <c r="AF329" s="693"/>
      <c r="AG329" s="688"/>
      <c r="AH329" s="693"/>
      <c r="AI329" s="697">
        <v>2010</v>
      </c>
      <c r="AJ329" s="698" t="s">
        <v>2008</v>
      </c>
      <c r="AK329" s="699">
        <f t="shared" si="54"/>
        <v>23826</v>
      </c>
      <c r="AL329" s="685" t="s">
        <v>159</v>
      </c>
      <c r="AM329" s="699">
        <v>2500</v>
      </c>
      <c r="AN329" s="699">
        <v>1000</v>
      </c>
      <c r="AO329" s="1000"/>
    </row>
    <row r="330" spans="1:41" x14ac:dyDescent="0.3">
      <c r="B330" s="686"/>
      <c r="C330" s="687">
        <v>329</v>
      </c>
      <c r="D330" s="688"/>
      <c r="E330" s="688"/>
      <c r="F330" s="689"/>
      <c r="G330" s="689">
        <v>77.97</v>
      </c>
      <c r="H330" s="690"/>
      <c r="I330" s="691"/>
      <c r="J330" s="692"/>
      <c r="K330" s="692"/>
      <c r="L330" s="692"/>
      <c r="M330" s="693"/>
      <c r="N330" s="693"/>
      <c r="O330" s="691"/>
      <c r="P330" s="688" t="s">
        <v>2000</v>
      </c>
      <c r="Q330" s="694"/>
      <c r="R330" s="688"/>
      <c r="S330" s="688" t="e">
        <f>+#REF!</f>
        <v>#REF!</v>
      </c>
      <c r="T330" s="688"/>
      <c r="U330" s="694"/>
      <c r="V330" s="688"/>
      <c r="W330" s="695"/>
      <c r="X330" s="696"/>
      <c r="Y330" s="688"/>
      <c r="Z330" s="688"/>
      <c r="AA330" s="688"/>
      <c r="AB330" s="688"/>
      <c r="AC330" s="688"/>
      <c r="AD330" s="688"/>
      <c r="AE330" s="689"/>
      <c r="AF330" s="693"/>
      <c r="AG330" s="688"/>
      <c r="AH330" s="693"/>
      <c r="AI330" s="697">
        <v>2010</v>
      </c>
      <c r="AJ330" s="698" t="s">
        <v>2009</v>
      </c>
      <c r="AK330" s="699">
        <f t="shared" si="54"/>
        <v>85767</v>
      </c>
      <c r="AL330" s="685" t="s">
        <v>159</v>
      </c>
      <c r="AM330" s="699">
        <v>2500</v>
      </c>
      <c r="AN330" s="699">
        <v>1000</v>
      </c>
      <c r="AO330" s="1000"/>
    </row>
    <row r="331" spans="1:41" x14ac:dyDescent="0.3">
      <c r="B331" s="686"/>
      <c r="C331" s="687">
        <v>330</v>
      </c>
      <c r="D331" s="688"/>
      <c r="E331" s="688"/>
      <c r="F331" s="689"/>
      <c r="G331" s="689">
        <v>35.950000000000003</v>
      </c>
      <c r="H331" s="690"/>
      <c r="I331" s="691"/>
      <c r="J331" s="692"/>
      <c r="K331" s="692"/>
      <c r="L331" s="692"/>
      <c r="M331" s="693"/>
      <c r="N331" s="693"/>
      <c r="O331" s="691"/>
      <c r="P331" s="688" t="s">
        <v>2010</v>
      </c>
      <c r="Q331" s="694"/>
      <c r="R331" s="688"/>
      <c r="S331" s="688" t="e">
        <f>+#REF!</f>
        <v>#REF!</v>
      </c>
      <c r="T331" s="688"/>
      <c r="U331" s="694"/>
      <c r="V331" s="688"/>
      <c r="W331" s="695"/>
      <c r="X331" s="696"/>
      <c r="Y331" s="688"/>
      <c r="Z331" s="688"/>
      <c r="AA331" s="688"/>
      <c r="AB331" s="688"/>
      <c r="AC331" s="688"/>
      <c r="AD331" s="688"/>
      <c r="AE331" s="689"/>
      <c r="AF331" s="693"/>
      <c r="AG331" s="688"/>
      <c r="AH331" s="693"/>
      <c r="AI331" s="697">
        <v>2010</v>
      </c>
      <c r="AJ331" s="698" t="s">
        <v>2011</v>
      </c>
      <c r="AK331" s="699">
        <f t="shared" si="54"/>
        <v>39545</v>
      </c>
      <c r="AL331" s="685" t="s">
        <v>159</v>
      </c>
      <c r="AM331" s="699">
        <v>2500</v>
      </c>
      <c r="AN331" s="699">
        <v>1000</v>
      </c>
      <c r="AO331" s="995">
        <v>5000</v>
      </c>
    </row>
    <row r="332" spans="1:41" x14ac:dyDescent="0.3">
      <c r="B332" s="686"/>
      <c r="C332" s="687">
        <v>331</v>
      </c>
      <c r="D332" s="688"/>
      <c r="E332" s="688"/>
      <c r="F332" s="689"/>
      <c r="G332" s="689">
        <v>69.180000000000007</v>
      </c>
      <c r="H332" s="690"/>
      <c r="I332" s="691"/>
      <c r="J332" s="692"/>
      <c r="K332" s="692"/>
      <c r="L332" s="692"/>
      <c r="M332" s="693"/>
      <c r="N332" s="693"/>
      <c r="O332" s="691"/>
      <c r="P332" s="688" t="s">
        <v>2010</v>
      </c>
      <c r="Q332" s="694"/>
      <c r="R332" s="688"/>
      <c r="S332" s="688" t="e">
        <f>+#REF!</f>
        <v>#REF!</v>
      </c>
      <c r="T332" s="688"/>
      <c r="U332" s="694"/>
      <c r="V332" s="688"/>
      <c r="W332" s="695"/>
      <c r="X332" s="696"/>
      <c r="Y332" s="688"/>
      <c r="Z332" s="688"/>
      <c r="AA332" s="688"/>
      <c r="AB332" s="688"/>
      <c r="AC332" s="688"/>
      <c r="AD332" s="688"/>
      <c r="AE332" s="689"/>
      <c r="AF332" s="693"/>
      <c r="AG332" s="688"/>
      <c r="AH332" s="693"/>
      <c r="AI332" s="697">
        <v>2010</v>
      </c>
      <c r="AJ332" s="698" t="s">
        <v>2012</v>
      </c>
      <c r="AK332" s="699">
        <f t="shared" si="54"/>
        <v>76098.000000000015</v>
      </c>
      <c r="AL332" s="685" t="s">
        <v>159</v>
      </c>
      <c r="AM332" s="699">
        <v>2500</v>
      </c>
      <c r="AN332" s="699">
        <v>1000</v>
      </c>
      <c r="AO332" s="998"/>
    </row>
    <row r="333" spans="1:41" x14ac:dyDescent="0.3">
      <c r="B333" s="686"/>
      <c r="C333" s="687">
        <v>332</v>
      </c>
      <c r="D333" s="688"/>
      <c r="E333" s="688"/>
      <c r="F333" s="689"/>
      <c r="G333" s="689">
        <v>67.33</v>
      </c>
      <c r="H333" s="690"/>
      <c r="I333" s="691"/>
      <c r="J333" s="692"/>
      <c r="K333" s="692"/>
      <c r="L333" s="692"/>
      <c r="M333" s="693"/>
      <c r="N333" s="693"/>
      <c r="O333" s="691"/>
      <c r="P333" s="688" t="s">
        <v>2010</v>
      </c>
      <c r="Q333" s="694"/>
      <c r="R333" s="688"/>
      <c r="S333" s="688" t="e">
        <f>+#REF!</f>
        <v>#REF!</v>
      </c>
      <c r="T333" s="688"/>
      <c r="U333" s="694"/>
      <c r="V333" s="688"/>
      <c r="W333" s="695"/>
      <c r="X333" s="696"/>
      <c r="Y333" s="688"/>
      <c r="Z333" s="688"/>
      <c r="AA333" s="688"/>
      <c r="AB333" s="688"/>
      <c r="AC333" s="688"/>
      <c r="AD333" s="688"/>
      <c r="AE333" s="689"/>
      <c r="AF333" s="693"/>
      <c r="AG333" s="688"/>
      <c r="AH333" s="693"/>
      <c r="AI333" s="697">
        <v>2010</v>
      </c>
      <c r="AJ333" s="698" t="s">
        <v>2013</v>
      </c>
      <c r="AK333" s="699">
        <f t="shared" si="54"/>
        <v>74063</v>
      </c>
      <c r="AL333" s="685" t="s">
        <v>159</v>
      </c>
      <c r="AM333" s="699">
        <v>2500</v>
      </c>
      <c r="AN333" s="699">
        <v>1000</v>
      </c>
      <c r="AO333" s="998"/>
    </row>
    <row r="334" spans="1:41" x14ac:dyDescent="0.3">
      <c r="B334" s="686"/>
      <c r="C334" s="687">
        <v>333</v>
      </c>
      <c r="D334" s="688"/>
      <c r="E334" s="688"/>
      <c r="F334" s="689"/>
      <c r="G334" s="689">
        <v>50.13</v>
      </c>
      <c r="H334" s="690"/>
      <c r="I334" s="691"/>
      <c r="J334" s="692"/>
      <c r="K334" s="692"/>
      <c r="L334" s="692"/>
      <c r="M334" s="693"/>
      <c r="N334" s="693"/>
      <c r="O334" s="691"/>
      <c r="P334" s="688" t="s">
        <v>2010</v>
      </c>
      <c r="Q334" s="694"/>
      <c r="R334" s="688"/>
      <c r="S334" s="688" t="e">
        <f>+#REF!</f>
        <v>#REF!</v>
      </c>
      <c r="T334" s="688"/>
      <c r="U334" s="694"/>
      <c r="V334" s="688"/>
      <c r="W334" s="695"/>
      <c r="X334" s="696"/>
      <c r="Y334" s="688"/>
      <c r="Z334" s="688"/>
      <c r="AA334" s="688"/>
      <c r="AB334" s="688"/>
      <c r="AC334" s="688"/>
      <c r="AD334" s="688"/>
      <c r="AE334" s="689"/>
      <c r="AF334" s="693"/>
      <c r="AG334" s="688"/>
      <c r="AH334" s="693"/>
      <c r="AI334" s="697">
        <v>2010</v>
      </c>
      <c r="AJ334" s="698" t="s">
        <v>2014</v>
      </c>
      <c r="AK334" s="699">
        <f t="shared" si="54"/>
        <v>55143</v>
      </c>
      <c r="AL334" s="685" t="s">
        <v>159</v>
      </c>
      <c r="AM334" s="699">
        <v>2500</v>
      </c>
      <c r="AN334" s="699">
        <v>1000</v>
      </c>
      <c r="AO334" s="996"/>
    </row>
    <row r="335" spans="1:41" x14ac:dyDescent="0.3">
      <c r="A335" s="669" t="s">
        <v>2015</v>
      </c>
      <c r="B335" s="686">
        <f>+B314+1</f>
        <v>4</v>
      </c>
      <c r="C335" s="687">
        <v>334</v>
      </c>
      <c r="D335" s="688">
        <v>100</v>
      </c>
      <c r="E335" s="688">
        <v>262</v>
      </c>
      <c r="F335" s="689"/>
      <c r="G335" s="689">
        <v>45.21</v>
      </c>
      <c r="H335" s="690">
        <v>1</v>
      </c>
      <c r="I335" s="691">
        <f t="shared" si="51"/>
        <v>0</v>
      </c>
      <c r="J335" s="692">
        <f t="shared" si="52"/>
        <v>0</v>
      </c>
      <c r="K335" s="692">
        <v>0</v>
      </c>
      <c r="L335" s="692">
        <f t="shared" si="53"/>
        <v>0</v>
      </c>
      <c r="M335" s="693">
        <v>5.08</v>
      </c>
      <c r="N335" s="693">
        <v>0</v>
      </c>
      <c r="O335" s="691">
        <f t="shared" ref="O335:O343" si="55">ROUND(+I335*N335/(12*100),0)</f>
        <v>0</v>
      </c>
      <c r="P335" s="688" t="s">
        <v>2016</v>
      </c>
      <c r="Q335" s="694">
        <v>5000</v>
      </c>
      <c r="R335" s="688" t="s">
        <v>886</v>
      </c>
      <c r="S335" s="688" t="e">
        <f>+#REF!</f>
        <v>#REF!</v>
      </c>
      <c r="T335" s="688" t="s">
        <v>2016</v>
      </c>
      <c r="U335" s="694">
        <v>5000</v>
      </c>
      <c r="V335" s="688" t="s">
        <v>886</v>
      </c>
      <c r="W335" s="695">
        <v>36130</v>
      </c>
      <c r="X335" s="696" t="s">
        <v>2017</v>
      </c>
      <c r="Y335" s="688" t="s">
        <v>2018</v>
      </c>
      <c r="Z335" s="688" t="s">
        <v>2019</v>
      </c>
      <c r="AA335" s="688" t="s">
        <v>891</v>
      </c>
      <c r="AB335" s="688" t="s">
        <v>891</v>
      </c>
      <c r="AC335" s="688"/>
      <c r="AD335" s="688"/>
      <c r="AE335" s="689">
        <v>7362035.2800000003</v>
      </c>
      <c r="AF335" s="693">
        <v>0</v>
      </c>
      <c r="AG335" s="688" t="s">
        <v>891</v>
      </c>
      <c r="AH335" s="693">
        <v>0</v>
      </c>
      <c r="AI335" s="697" t="s">
        <v>2017</v>
      </c>
      <c r="AJ335" s="698" t="s">
        <v>2020</v>
      </c>
      <c r="AK335" s="699">
        <f t="shared" si="54"/>
        <v>49731</v>
      </c>
      <c r="AL335" s="685" t="s">
        <v>159</v>
      </c>
      <c r="AM335" s="699">
        <v>2500</v>
      </c>
      <c r="AN335" s="699">
        <v>1000</v>
      </c>
    </row>
    <row r="336" spans="1:41" x14ac:dyDescent="0.3">
      <c r="A336" s="669" t="s">
        <v>2021</v>
      </c>
      <c r="B336" s="686">
        <f>+B335+1</f>
        <v>5</v>
      </c>
      <c r="C336" s="687">
        <f>+C335+1</f>
        <v>335</v>
      </c>
      <c r="D336" s="688">
        <v>100</v>
      </c>
      <c r="E336" s="688">
        <v>262</v>
      </c>
      <c r="F336" s="689"/>
      <c r="G336" s="689">
        <v>32.58</v>
      </c>
      <c r="H336" s="690">
        <v>1.024</v>
      </c>
      <c r="I336" s="691">
        <f t="shared" si="51"/>
        <v>0</v>
      </c>
      <c r="J336" s="692">
        <f t="shared" si="52"/>
        <v>0</v>
      </c>
      <c r="K336" s="692">
        <v>0</v>
      </c>
      <c r="L336" s="692">
        <f t="shared" si="53"/>
        <v>0</v>
      </c>
      <c r="M336" s="693">
        <v>5.08</v>
      </c>
      <c r="N336" s="693">
        <v>0</v>
      </c>
      <c r="O336" s="691">
        <f t="shared" si="55"/>
        <v>0</v>
      </c>
      <c r="P336" s="688" t="s">
        <v>2016</v>
      </c>
      <c r="Q336" s="694">
        <v>5000</v>
      </c>
      <c r="R336" s="688" t="s">
        <v>886</v>
      </c>
      <c r="S336" s="688" t="e">
        <f>+#REF!</f>
        <v>#REF!</v>
      </c>
      <c r="T336" s="688" t="s">
        <v>2016</v>
      </c>
      <c r="U336" s="694">
        <v>5000</v>
      </c>
      <c r="V336" s="688" t="s">
        <v>886</v>
      </c>
      <c r="W336" s="695">
        <v>36130</v>
      </c>
      <c r="X336" s="696" t="s">
        <v>2017</v>
      </c>
      <c r="Y336" s="688" t="s">
        <v>2022</v>
      </c>
      <c r="Z336" s="688" t="s">
        <v>2023</v>
      </c>
      <c r="AA336" s="688" t="s">
        <v>891</v>
      </c>
      <c r="AB336" s="688" t="s">
        <v>891</v>
      </c>
      <c r="AC336" s="688"/>
      <c r="AD336" s="688"/>
      <c r="AE336" s="689">
        <v>5432683.7400000002</v>
      </c>
      <c r="AF336" s="693">
        <v>0</v>
      </c>
      <c r="AG336" s="688" t="s">
        <v>891</v>
      </c>
      <c r="AH336" s="693">
        <v>0</v>
      </c>
      <c r="AI336" s="697" t="s">
        <v>2017</v>
      </c>
      <c r="AJ336" s="698" t="s">
        <v>2024</v>
      </c>
      <c r="AK336" s="699">
        <f t="shared" si="54"/>
        <v>35838</v>
      </c>
      <c r="AL336" s="685" t="s">
        <v>159</v>
      </c>
      <c r="AM336" s="699">
        <v>2500</v>
      </c>
      <c r="AN336" s="699">
        <v>1000</v>
      </c>
    </row>
    <row r="337" spans="1:40" x14ac:dyDescent="0.3">
      <c r="A337" s="669" t="s">
        <v>2025</v>
      </c>
      <c r="B337" s="686" t="e">
        <f>+#REF!+1</f>
        <v>#REF!</v>
      </c>
      <c r="C337" s="687">
        <f>+C336+1</f>
        <v>336</v>
      </c>
      <c r="D337" s="688">
        <v>100</v>
      </c>
      <c r="E337" s="688">
        <v>272</v>
      </c>
      <c r="F337" s="689"/>
      <c r="G337" s="689">
        <v>57.22</v>
      </c>
      <c r="H337" s="690">
        <v>1.006</v>
      </c>
      <c r="I337" s="691">
        <f t="shared" si="51"/>
        <v>0</v>
      </c>
      <c r="J337" s="692">
        <f t="shared" si="52"/>
        <v>0</v>
      </c>
      <c r="K337" s="692">
        <v>0</v>
      </c>
      <c r="L337" s="692">
        <f t="shared" si="53"/>
        <v>0</v>
      </c>
      <c r="M337" s="693">
        <v>1.3943700000000001</v>
      </c>
      <c r="N337" s="693">
        <v>1.21916</v>
      </c>
      <c r="O337" s="691">
        <f t="shared" si="55"/>
        <v>0</v>
      </c>
      <c r="P337" s="688" t="s">
        <v>2026</v>
      </c>
      <c r="Q337" s="694">
        <v>5000</v>
      </c>
      <c r="R337" s="688" t="s">
        <v>886</v>
      </c>
      <c r="S337" s="688" t="e">
        <f>+#REF!</f>
        <v>#REF!</v>
      </c>
      <c r="T337" s="688" t="s">
        <v>2026</v>
      </c>
      <c r="U337" s="694">
        <v>5000</v>
      </c>
      <c r="V337" s="688" t="s">
        <v>886</v>
      </c>
      <c r="W337" s="695">
        <v>36516</v>
      </c>
      <c r="X337" s="696" t="s">
        <v>2017</v>
      </c>
      <c r="Y337" s="688" t="s">
        <v>2027</v>
      </c>
      <c r="Z337" s="688" t="s">
        <v>2028</v>
      </c>
      <c r="AA337" s="688" t="s">
        <v>891</v>
      </c>
      <c r="AB337" s="688" t="s">
        <v>891</v>
      </c>
      <c r="AC337" s="688"/>
      <c r="AD337" s="688"/>
      <c r="AE337" s="689">
        <v>9731433.8399999999</v>
      </c>
      <c r="AF337" s="693">
        <v>0</v>
      </c>
      <c r="AG337" s="688" t="s">
        <v>891</v>
      </c>
      <c r="AH337" s="693">
        <v>0</v>
      </c>
      <c r="AI337" s="697" t="s">
        <v>2017</v>
      </c>
      <c r="AJ337" s="698" t="s">
        <v>2029</v>
      </c>
      <c r="AK337" s="699">
        <f t="shared" si="54"/>
        <v>62942</v>
      </c>
      <c r="AL337" s="685" t="s">
        <v>159</v>
      </c>
      <c r="AM337" s="699">
        <v>2500</v>
      </c>
      <c r="AN337" s="699">
        <v>1000</v>
      </c>
    </row>
    <row r="338" spans="1:40" x14ac:dyDescent="0.3">
      <c r="A338" s="669" t="s">
        <v>2030</v>
      </c>
      <c r="B338" s="686" t="e">
        <f>+B337+1</f>
        <v>#REF!</v>
      </c>
      <c r="C338" s="687">
        <f>+C337+1</f>
        <v>337</v>
      </c>
      <c r="D338" s="688">
        <v>100</v>
      </c>
      <c r="E338" s="688">
        <v>256</v>
      </c>
      <c r="F338" s="689"/>
      <c r="G338" s="689">
        <v>30.73</v>
      </c>
      <c r="H338" s="690">
        <v>1.024</v>
      </c>
      <c r="I338" s="691">
        <f t="shared" si="51"/>
        <v>0</v>
      </c>
      <c r="J338" s="692">
        <f t="shared" si="52"/>
        <v>0</v>
      </c>
      <c r="K338" s="692">
        <v>0</v>
      </c>
      <c r="L338" s="692">
        <f t="shared" si="53"/>
        <v>0</v>
      </c>
      <c r="M338" s="693">
        <v>5.08</v>
      </c>
      <c r="N338" s="693">
        <v>0</v>
      </c>
      <c r="O338" s="691">
        <f t="shared" si="55"/>
        <v>0</v>
      </c>
      <c r="P338" s="688" t="s">
        <v>2031</v>
      </c>
      <c r="Q338" s="694">
        <v>5000</v>
      </c>
      <c r="R338" s="688" t="s">
        <v>886</v>
      </c>
      <c r="S338" s="688" t="e">
        <f>+#REF!</f>
        <v>#REF!</v>
      </c>
      <c r="T338" s="688" t="s">
        <v>2032</v>
      </c>
      <c r="U338" s="694">
        <v>5290</v>
      </c>
      <c r="V338" s="688" t="s">
        <v>753</v>
      </c>
      <c r="W338" s="695">
        <v>36130</v>
      </c>
      <c r="X338" s="696" t="s">
        <v>2017</v>
      </c>
      <c r="Y338" s="688" t="s">
        <v>2033</v>
      </c>
      <c r="Z338" s="688" t="s">
        <v>2034</v>
      </c>
      <c r="AA338" s="688" t="s">
        <v>891</v>
      </c>
      <c r="AB338" s="688" t="s">
        <v>891</v>
      </c>
      <c r="AC338" s="688"/>
      <c r="AD338" s="688"/>
      <c r="AE338" s="689">
        <v>5805208.7400000002</v>
      </c>
      <c r="AF338" s="693">
        <v>0</v>
      </c>
      <c r="AG338" s="688" t="s">
        <v>891</v>
      </c>
      <c r="AH338" s="693">
        <v>0</v>
      </c>
      <c r="AI338" s="697" t="s">
        <v>2017</v>
      </c>
      <c r="AJ338" s="698" t="s">
        <v>2035</v>
      </c>
      <c r="AK338" s="699">
        <f t="shared" si="54"/>
        <v>33803</v>
      </c>
      <c r="AL338" s="685" t="s">
        <v>159</v>
      </c>
      <c r="AM338" s="699">
        <v>2500</v>
      </c>
      <c r="AN338" s="699">
        <v>1000</v>
      </c>
    </row>
    <row r="339" spans="1:40" x14ac:dyDescent="0.3">
      <c r="A339" s="669" t="s">
        <v>2036</v>
      </c>
      <c r="B339" s="686" t="e">
        <f>+B338+1</f>
        <v>#REF!</v>
      </c>
      <c r="C339" s="687">
        <f>+C338+1</f>
        <v>338</v>
      </c>
      <c r="D339" s="688">
        <v>100</v>
      </c>
      <c r="E339" s="688">
        <v>272</v>
      </c>
      <c r="F339" s="689"/>
      <c r="G339" s="689">
        <v>59.39</v>
      </c>
      <c r="H339" s="690">
        <v>1</v>
      </c>
      <c r="I339" s="691">
        <f t="shared" si="51"/>
        <v>0</v>
      </c>
      <c r="J339" s="692">
        <f t="shared" si="52"/>
        <v>0</v>
      </c>
      <c r="K339" s="692">
        <v>0</v>
      </c>
      <c r="L339" s="692">
        <f t="shared" si="53"/>
        <v>0</v>
      </c>
      <c r="M339" s="693">
        <v>5.08</v>
      </c>
      <c r="N339" s="693">
        <v>0</v>
      </c>
      <c r="O339" s="691">
        <f t="shared" si="55"/>
        <v>0</v>
      </c>
      <c r="P339" s="688" t="s">
        <v>2026</v>
      </c>
      <c r="Q339" s="694">
        <v>5000</v>
      </c>
      <c r="R339" s="688" t="s">
        <v>886</v>
      </c>
      <c r="S339" s="688" t="e">
        <f>+#REF!</f>
        <v>#REF!</v>
      </c>
      <c r="T339" s="688" t="s">
        <v>2026</v>
      </c>
      <c r="U339" s="694">
        <v>5000</v>
      </c>
      <c r="V339" s="688" t="s">
        <v>886</v>
      </c>
      <c r="W339" s="695">
        <v>36566</v>
      </c>
      <c r="X339" s="696" t="s">
        <v>2017</v>
      </c>
      <c r="Y339" s="688" t="s">
        <v>2037</v>
      </c>
      <c r="Z339" s="688" t="s">
        <v>2038</v>
      </c>
      <c r="AA339" s="688" t="s">
        <v>891</v>
      </c>
      <c r="AB339" s="688" t="s">
        <v>891</v>
      </c>
      <c r="AC339" s="688"/>
      <c r="AD339" s="688"/>
      <c r="AE339" s="689">
        <v>10040245.34</v>
      </c>
      <c r="AF339" s="693">
        <v>0</v>
      </c>
      <c r="AG339" s="688" t="s">
        <v>891</v>
      </c>
      <c r="AH339" s="693">
        <v>0</v>
      </c>
      <c r="AI339" s="697" t="s">
        <v>2017</v>
      </c>
      <c r="AJ339" s="698" t="s">
        <v>2039</v>
      </c>
      <c r="AK339" s="699">
        <f t="shared" si="54"/>
        <v>65329</v>
      </c>
      <c r="AL339" s="685" t="s">
        <v>159</v>
      </c>
      <c r="AM339" s="699">
        <v>2500</v>
      </c>
      <c r="AN339" s="699">
        <v>1000</v>
      </c>
    </row>
    <row r="340" spans="1:40" x14ac:dyDescent="0.3">
      <c r="A340" s="669" t="s">
        <v>2040</v>
      </c>
      <c r="B340" s="686" t="e">
        <f>+#REF!+1</f>
        <v>#REF!</v>
      </c>
      <c r="C340" s="687">
        <v>339</v>
      </c>
      <c r="D340" s="688">
        <v>100</v>
      </c>
      <c r="E340" s="688">
        <v>262</v>
      </c>
      <c r="F340" s="689"/>
      <c r="G340" s="689">
        <v>44.23</v>
      </c>
      <c r="H340" s="690">
        <v>1.024</v>
      </c>
      <c r="I340" s="691">
        <f t="shared" si="51"/>
        <v>0</v>
      </c>
      <c r="J340" s="692">
        <f t="shared" si="52"/>
        <v>0</v>
      </c>
      <c r="K340" s="692">
        <v>0</v>
      </c>
      <c r="L340" s="692">
        <f t="shared" si="53"/>
        <v>0</v>
      </c>
      <c r="M340" s="693">
        <v>3.81</v>
      </c>
      <c r="N340" s="693">
        <v>0</v>
      </c>
      <c r="O340" s="691">
        <f t="shared" si="55"/>
        <v>0</v>
      </c>
      <c r="P340" s="688" t="s">
        <v>2041</v>
      </c>
      <c r="Q340" s="694">
        <v>5250</v>
      </c>
      <c r="R340" s="688" t="s">
        <v>1490</v>
      </c>
      <c r="S340" s="688" t="e">
        <f>+#REF!</f>
        <v>#REF!</v>
      </c>
      <c r="T340" s="688" t="s">
        <v>2042</v>
      </c>
      <c r="U340" s="694">
        <v>5250</v>
      </c>
      <c r="V340" s="688" t="s">
        <v>1490</v>
      </c>
      <c r="W340" s="695">
        <v>34335</v>
      </c>
      <c r="X340" s="696" t="s">
        <v>2043</v>
      </c>
      <c r="Y340" s="688" t="s">
        <v>2044</v>
      </c>
      <c r="Z340" s="688" t="s">
        <v>2045</v>
      </c>
      <c r="AA340" s="688" t="s">
        <v>891</v>
      </c>
      <c r="AB340" s="688" t="s">
        <v>891</v>
      </c>
      <c r="AC340" s="688"/>
      <c r="AD340" s="688"/>
      <c r="AE340" s="689">
        <v>7375310.0700000003</v>
      </c>
      <c r="AF340" s="693">
        <v>1.67</v>
      </c>
      <c r="AG340" s="688" t="s">
        <v>891</v>
      </c>
      <c r="AH340" s="693">
        <v>1.67</v>
      </c>
      <c r="AI340" s="697" t="s">
        <v>2043</v>
      </c>
      <c r="AJ340" s="698" t="s">
        <v>2046</v>
      </c>
      <c r="AK340" s="699">
        <f>G340*1000</f>
        <v>44230</v>
      </c>
      <c r="AL340" s="685" t="s">
        <v>159</v>
      </c>
      <c r="AM340" s="699">
        <v>2500</v>
      </c>
      <c r="AN340" s="699">
        <v>1000</v>
      </c>
    </row>
    <row r="341" spans="1:40" x14ac:dyDescent="0.3">
      <c r="A341" s="669" t="s">
        <v>2047</v>
      </c>
      <c r="B341" s="686" t="e">
        <f>+B340+1</f>
        <v>#REF!</v>
      </c>
      <c r="C341" s="687">
        <f t="shared" ref="C341:C360" si="56">+C340+1</f>
        <v>340</v>
      </c>
      <c r="D341" s="688">
        <v>100</v>
      </c>
      <c r="E341" s="688">
        <v>262</v>
      </c>
      <c r="F341" s="689"/>
      <c r="G341" s="689">
        <v>48.87</v>
      </c>
      <c r="H341" s="690">
        <v>1</v>
      </c>
      <c r="I341" s="691">
        <f t="shared" si="51"/>
        <v>0</v>
      </c>
      <c r="J341" s="692">
        <f t="shared" si="52"/>
        <v>0</v>
      </c>
      <c r="K341" s="692">
        <v>0</v>
      </c>
      <c r="L341" s="692">
        <f t="shared" si="53"/>
        <v>0</v>
      </c>
      <c r="M341" s="693">
        <v>3.81</v>
      </c>
      <c r="N341" s="693">
        <v>0</v>
      </c>
      <c r="O341" s="691">
        <f t="shared" si="55"/>
        <v>0</v>
      </c>
      <c r="P341" s="688" t="s">
        <v>2041</v>
      </c>
      <c r="Q341" s="694">
        <v>5250</v>
      </c>
      <c r="R341" s="688" t="s">
        <v>1490</v>
      </c>
      <c r="S341" s="688" t="e">
        <f>+#REF!</f>
        <v>#REF!</v>
      </c>
      <c r="T341" s="688" t="s">
        <v>2042</v>
      </c>
      <c r="U341" s="694">
        <v>5250</v>
      </c>
      <c r="V341" s="688" t="s">
        <v>1490</v>
      </c>
      <c r="W341" s="695">
        <v>34465</v>
      </c>
      <c r="X341" s="696" t="s">
        <v>2043</v>
      </c>
      <c r="Y341" s="688" t="s">
        <v>2048</v>
      </c>
      <c r="Z341" s="688" t="s">
        <v>2049</v>
      </c>
      <c r="AA341" s="688" t="s">
        <v>891</v>
      </c>
      <c r="AB341" s="688" t="s">
        <v>891</v>
      </c>
      <c r="AC341" s="688"/>
      <c r="AD341" s="688"/>
      <c r="AE341" s="689">
        <v>7958032.8300000001</v>
      </c>
      <c r="AF341" s="693">
        <v>1.8</v>
      </c>
      <c r="AG341" s="688" t="s">
        <v>891</v>
      </c>
      <c r="AH341" s="693">
        <v>1.8</v>
      </c>
      <c r="AI341" s="697" t="s">
        <v>2043</v>
      </c>
      <c r="AJ341" s="698" t="s">
        <v>2050</v>
      </c>
      <c r="AK341" s="699">
        <f>G341*1000</f>
        <v>48870</v>
      </c>
      <c r="AL341" s="685" t="s">
        <v>159</v>
      </c>
      <c r="AM341" s="699">
        <v>2500</v>
      </c>
      <c r="AN341" s="699">
        <v>1000</v>
      </c>
    </row>
    <row r="342" spans="1:40" x14ac:dyDescent="0.3">
      <c r="A342" s="669" t="s">
        <v>2051</v>
      </c>
      <c r="B342" s="686" t="e">
        <f>+#REF!+1</f>
        <v>#REF!</v>
      </c>
      <c r="C342" s="687">
        <f t="shared" si="56"/>
        <v>341</v>
      </c>
      <c r="D342" s="688">
        <v>100</v>
      </c>
      <c r="E342" s="688">
        <v>262</v>
      </c>
      <c r="F342" s="689"/>
      <c r="G342" s="689">
        <v>46.44</v>
      </c>
      <c r="H342" s="690">
        <v>1.024</v>
      </c>
      <c r="I342" s="691">
        <f t="shared" si="51"/>
        <v>0</v>
      </c>
      <c r="J342" s="692">
        <f t="shared" si="52"/>
        <v>0</v>
      </c>
      <c r="K342" s="692">
        <v>9074</v>
      </c>
      <c r="L342" s="692">
        <f t="shared" si="53"/>
        <v>-9074</v>
      </c>
      <c r="M342" s="693">
        <v>1.3943700000000001</v>
      </c>
      <c r="N342" s="693">
        <v>1.21916</v>
      </c>
      <c r="O342" s="691">
        <f t="shared" si="55"/>
        <v>0</v>
      </c>
      <c r="P342" s="688" t="s">
        <v>2041</v>
      </c>
      <c r="Q342" s="694">
        <v>5250</v>
      </c>
      <c r="R342" s="688" t="s">
        <v>1490</v>
      </c>
      <c r="S342" s="688" t="e">
        <f>+#REF!</f>
        <v>#REF!</v>
      </c>
      <c r="T342" s="688" t="s">
        <v>2042</v>
      </c>
      <c r="U342" s="694">
        <v>5250</v>
      </c>
      <c r="V342" s="688" t="s">
        <v>1490</v>
      </c>
      <c r="W342" s="695">
        <v>34335</v>
      </c>
      <c r="X342" s="696" t="s">
        <v>2043</v>
      </c>
      <c r="Y342" s="688" t="s">
        <v>2052</v>
      </c>
      <c r="Z342" s="688" t="s">
        <v>2053</v>
      </c>
      <c r="AA342" s="688" t="s">
        <v>891</v>
      </c>
      <c r="AB342" s="688" t="s">
        <v>891</v>
      </c>
      <c r="AC342" s="688" t="s">
        <v>1074</v>
      </c>
      <c r="AD342" s="688" t="s">
        <v>1295</v>
      </c>
      <c r="AE342" s="689">
        <v>7743825.4500000002</v>
      </c>
      <c r="AF342" s="693">
        <v>1.75</v>
      </c>
      <c r="AG342" s="688" t="s">
        <v>891</v>
      </c>
      <c r="AH342" s="693">
        <v>1.75</v>
      </c>
      <c r="AI342" s="697" t="s">
        <v>2043</v>
      </c>
      <c r="AJ342" s="698" t="s">
        <v>2054</v>
      </c>
      <c r="AK342" s="699">
        <f>G342*1000</f>
        <v>46440</v>
      </c>
      <c r="AL342" s="685" t="s">
        <v>159</v>
      </c>
      <c r="AM342" s="699">
        <v>2500</v>
      </c>
      <c r="AN342" s="699">
        <v>1000</v>
      </c>
    </row>
    <row r="343" spans="1:40" x14ac:dyDescent="0.3">
      <c r="A343" s="669" t="s">
        <v>2055</v>
      </c>
      <c r="B343" s="686" t="e">
        <f t="shared" ref="B343:B360" si="57">+B342+1</f>
        <v>#REF!</v>
      </c>
      <c r="C343" s="687">
        <f t="shared" si="56"/>
        <v>342</v>
      </c>
      <c r="D343" s="688">
        <v>100</v>
      </c>
      <c r="E343" s="688">
        <v>262</v>
      </c>
      <c r="F343" s="689"/>
      <c r="G343" s="689">
        <v>66.569999999999993</v>
      </c>
      <c r="H343" s="690">
        <v>1</v>
      </c>
      <c r="I343" s="691">
        <f t="shared" si="51"/>
        <v>0</v>
      </c>
      <c r="J343" s="692">
        <f t="shared" si="52"/>
        <v>0</v>
      </c>
      <c r="K343" s="692">
        <v>0</v>
      </c>
      <c r="L343" s="692">
        <f t="shared" si="53"/>
        <v>0</v>
      </c>
      <c r="M343" s="693">
        <v>3.81</v>
      </c>
      <c r="N343" s="693">
        <v>0</v>
      </c>
      <c r="O343" s="691">
        <f t="shared" si="55"/>
        <v>0</v>
      </c>
      <c r="P343" s="688" t="s">
        <v>2041</v>
      </c>
      <c r="Q343" s="694">
        <v>5250</v>
      </c>
      <c r="R343" s="688" t="s">
        <v>1490</v>
      </c>
      <c r="S343" s="688" t="e">
        <f>+#REF!</f>
        <v>#REF!</v>
      </c>
      <c r="T343" s="688" t="s">
        <v>2042</v>
      </c>
      <c r="U343" s="694">
        <v>5250</v>
      </c>
      <c r="V343" s="688" t="s">
        <v>1490</v>
      </c>
      <c r="W343" s="695">
        <v>34335</v>
      </c>
      <c r="X343" s="696" t="s">
        <v>2043</v>
      </c>
      <c r="Y343" s="688" t="s">
        <v>2056</v>
      </c>
      <c r="Z343" s="688" t="s">
        <v>2057</v>
      </c>
      <c r="AA343" s="688" t="s">
        <v>891</v>
      </c>
      <c r="AB343" s="688" t="s">
        <v>891</v>
      </c>
      <c r="AC343" s="688"/>
      <c r="AD343" s="688"/>
      <c r="AE343" s="689">
        <v>10840316.050000001</v>
      </c>
      <c r="AF343" s="693">
        <v>2.4500000000000002</v>
      </c>
      <c r="AG343" s="688" t="s">
        <v>891</v>
      </c>
      <c r="AH343" s="693">
        <v>2.4500000000000002</v>
      </c>
      <c r="AI343" s="697" t="s">
        <v>2043</v>
      </c>
      <c r="AJ343" s="698" t="s">
        <v>2058</v>
      </c>
      <c r="AK343" s="699">
        <f>G343*1000</f>
        <v>66570</v>
      </c>
      <c r="AL343" s="685" t="s">
        <v>159</v>
      </c>
      <c r="AM343" s="699">
        <v>2500</v>
      </c>
      <c r="AN343" s="699">
        <v>1000</v>
      </c>
    </row>
    <row r="344" spans="1:40" x14ac:dyDescent="0.3">
      <c r="A344" s="669" t="s">
        <v>2059</v>
      </c>
      <c r="B344" s="686" t="e">
        <f>+#REF!+1</f>
        <v>#REF!</v>
      </c>
      <c r="C344" s="687">
        <v>343</v>
      </c>
      <c r="D344" s="688">
        <v>100</v>
      </c>
      <c r="E344" s="688">
        <v>299</v>
      </c>
      <c r="F344" s="689"/>
      <c r="G344" s="689">
        <v>102.7</v>
      </c>
      <c r="H344" s="690">
        <v>0.96599999999999997</v>
      </c>
      <c r="I344" s="691">
        <f t="shared" si="51"/>
        <v>0</v>
      </c>
      <c r="J344" s="692">
        <f t="shared" si="52"/>
        <v>0</v>
      </c>
      <c r="K344" s="692">
        <v>0</v>
      </c>
      <c r="L344" s="692">
        <f t="shared" si="53"/>
        <v>0</v>
      </c>
      <c r="M344" s="693">
        <v>5.08</v>
      </c>
      <c r="N344" s="693"/>
      <c r="O344" s="691"/>
      <c r="P344" s="688" t="s">
        <v>2060</v>
      </c>
      <c r="Q344" s="694">
        <v>5000</v>
      </c>
      <c r="R344" s="688" t="s">
        <v>93</v>
      </c>
      <c r="S344" s="688" t="e">
        <f>+#REF!</f>
        <v>#REF!</v>
      </c>
      <c r="T344" s="688" t="str">
        <f t="shared" ref="T344:T357" si="58">+P344</f>
        <v>Vojkova 101A</v>
      </c>
      <c r="U344" s="694">
        <v>5000</v>
      </c>
      <c r="V344" s="688" t="str">
        <f t="shared" ref="V344:V357" si="59">+R344</f>
        <v>Nova Gorica</v>
      </c>
      <c r="W344" s="695"/>
      <c r="X344" s="696">
        <v>2004</v>
      </c>
      <c r="Y344" s="688"/>
      <c r="Z344" s="688"/>
      <c r="AA344" s="688"/>
      <c r="AB344" s="688"/>
      <c r="AC344" s="688"/>
      <c r="AD344" s="688"/>
      <c r="AE344" s="689"/>
      <c r="AF344" s="693"/>
      <c r="AG344" s="688"/>
      <c r="AH344" s="693"/>
      <c r="AI344" s="697">
        <v>2004</v>
      </c>
      <c r="AJ344" s="698" t="s">
        <v>2061</v>
      </c>
      <c r="AK344" s="699">
        <f t="shared" ref="AK344:AK360" si="60">G344*1100</f>
        <v>112970</v>
      </c>
      <c r="AL344" s="685" t="s">
        <v>159</v>
      </c>
      <c r="AM344" s="699">
        <v>2500</v>
      </c>
      <c r="AN344" s="699">
        <v>1000</v>
      </c>
    </row>
    <row r="345" spans="1:40" x14ac:dyDescent="0.3">
      <c r="A345" s="669" t="s">
        <v>2062</v>
      </c>
      <c r="B345" s="686" t="e">
        <f t="shared" si="57"/>
        <v>#REF!</v>
      </c>
      <c r="C345" s="687">
        <f t="shared" si="56"/>
        <v>344</v>
      </c>
      <c r="D345" s="688">
        <v>100</v>
      </c>
      <c r="E345" s="688">
        <v>299</v>
      </c>
      <c r="F345" s="689"/>
      <c r="G345" s="689">
        <v>43.31</v>
      </c>
      <c r="H345" s="690">
        <v>1.024</v>
      </c>
      <c r="I345" s="691">
        <f t="shared" si="51"/>
        <v>0</v>
      </c>
      <c r="J345" s="692">
        <f t="shared" si="52"/>
        <v>0</v>
      </c>
      <c r="K345" s="692">
        <v>0</v>
      </c>
      <c r="L345" s="692">
        <f t="shared" si="53"/>
        <v>0</v>
      </c>
      <c r="M345" s="693">
        <v>6.35</v>
      </c>
      <c r="N345" s="693"/>
      <c r="O345" s="691"/>
      <c r="P345" s="688" t="s">
        <v>2060</v>
      </c>
      <c r="Q345" s="694">
        <v>5000</v>
      </c>
      <c r="R345" s="688" t="s">
        <v>93</v>
      </c>
      <c r="S345" s="688" t="e">
        <f>+#REF!</f>
        <v>#REF!</v>
      </c>
      <c r="T345" s="688" t="str">
        <f t="shared" si="58"/>
        <v>Vojkova 101A</v>
      </c>
      <c r="U345" s="694">
        <v>5000</v>
      </c>
      <c r="V345" s="688" t="str">
        <f t="shared" si="59"/>
        <v>Nova Gorica</v>
      </c>
      <c r="W345" s="695"/>
      <c r="X345" s="696">
        <v>2004</v>
      </c>
      <c r="Y345" s="688"/>
      <c r="Z345" s="688"/>
      <c r="AA345" s="688"/>
      <c r="AB345" s="688"/>
      <c r="AC345" s="688"/>
      <c r="AD345" s="688"/>
      <c r="AE345" s="689"/>
      <c r="AF345" s="693"/>
      <c r="AG345" s="688"/>
      <c r="AH345" s="693"/>
      <c r="AI345" s="697">
        <v>2004</v>
      </c>
      <c r="AJ345" s="698" t="s">
        <v>2063</v>
      </c>
      <c r="AK345" s="699">
        <f t="shared" si="60"/>
        <v>47641</v>
      </c>
      <c r="AL345" s="685" t="s">
        <v>159</v>
      </c>
      <c r="AM345" s="699">
        <v>2500</v>
      </c>
      <c r="AN345" s="699">
        <v>1000</v>
      </c>
    </row>
    <row r="346" spans="1:40" x14ac:dyDescent="0.3">
      <c r="A346" s="669" t="s">
        <v>2064</v>
      </c>
      <c r="B346" s="686" t="e">
        <f t="shared" si="57"/>
        <v>#REF!</v>
      </c>
      <c r="C346" s="687">
        <f t="shared" si="56"/>
        <v>345</v>
      </c>
      <c r="D346" s="688">
        <v>100</v>
      </c>
      <c r="E346" s="688">
        <v>299</v>
      </c>
      <c r="F346" s="689"/>
      <c r="G346" s="689">
        <v>47.74</v>
      </c>
      <c r="H346" s="690">
        <v>1.024</v>
      </c>
      <c r="I346" s="691">
        <f t="shared" si="51"/>
        <v>0</v>
      </c>
      <c r="J346" s="692">
        <f t="shared" si="52"/>
        <v>0</v>
      </c>
      <c r="K346" s="692">
        <v>0</v>
      </c>
      <c r="L346" s="692">
        <f t="shared" si="53"/>
        <v>0</v>
      </c>
      <c r="M346" s="693">
        <v>1.91</v>
      </c>
      <c r="N346" s="693">
        <v>1.67</v>
      </c>
      <c r="O346" s="691">
        <f>ROUND(+I346*N346/(12*100),0)</f>
        <v>0</v>
      </c>
      <c r="P346" s="688" t="s">
        <v>2060</v>
      </c>
      <c r="Q346" s="694">
        <v>5000</v>
      </c>
      <c r="R346" s="688" t="s">
        <v>93</v>
      </c>
      <c r="S346" s="688" t="e">
        <f>+#REF!</f>
        <v>#REF!</v>
      </c>
      <c r="T346" s="688" t="str">
        <f t="shared" si="58"/>
        <v>Vojkova 101A</v>
      </c>
      <c r="U346" s="694">
        <v>5000</v>
      </c>
      <c r="V346" s="688" t="str">
        <f t="shared" si="59"/>
        <v>Nova Gorica</v>
      </c>
      <c r="W346" s="695"/>
      <c r="X346" s="696">
        <v>2004</v>
      </c>
      <c r="Y346" s="688"/>
      <c r="Z346" s="688"/>
      <c r="AA346" s="688"/>
      <c r="AB346" s="688"/>
      <c r="AC346" s="688"/>
      <c r="AD346" s="688"/>
      <c r="AE346" s="689"/>
      <c r="AF346" s="693"/>
      <c r="AG346" s="688"/>
      <c r="AH346" s="693"/>
      <c r="AI346" s="697">
        <v>2004</v>
      </c>
      <c r="AJ346" s="698" t="s">
        <v>2065</v>
      </c>
      <c r="AK346" s="699">
        <f t="shared" si="60"/>
        <v>52514</v>
      </c>
      <c r="AL346" s="685" t="s">
        <v>159</v>
      </c>
      <c r="AM346" s="699">
        <v>2500</v>
      </c>
      <c r="AN346" s="699">
        <v>1000</v>
      </c>
    </row>
    <row r="347" spans="1:40" x14ac:dyDescent="0.3">
      <c r="A347" s="669" t="s">
        <v>2066</v>
      </c>
      <c r="B347" s="686" t="e">
        <f t="shared" si="57"/>
        <v>#REF!</v>
      </c>
      <c r="C347" s="687">
        <f t="shared" si="56"/>
        <v>346</v>
      </c>
      <c r="D347" s="688">
        <v>100</v>
      </c>
      <c r="E347" s="688">
        <v>303</v>
      </c>
      <c r="F347" s="689"/>
      <c r="G347" s="689">
        <v>105.63</v>
      </c>
      <c r="H347" s="690">
        <v>0.96599999999999997</v>
      </c>
      <c r="I347" s="691">
        <f t="shared" si="51"/>
        <v>0</v>
      </c>
      <c r="J347" s="692">
        <f t="shared" si="52"/>
        <v>0</v>
      </c>
      <c r="K347" s="692">
        <v>0</v>
      </c>
      <c r="L347" s="692">
        <f t="shared" si="53"/>
        <v>0</v>
      </c>
      <c r="M347" s="693">
        <v>5.08</v>
      </c>
      <c r="N347" s="693"/>
      <c r="O347" s="691"/>
      <c r="P347" s="688" t="s">
        <v>2067</v>
      </c>
      <c r="Q347" s="694">
        <v>5000</v>
      </c>
      <c r="R347" s="688" t="s">
        <v>93</v>
      </c>
      <c r="S347" s="688" t="e">
        <f>+#REF!</f>
        <v>#REF!</v>
      </c>
      <c r="T347" s="688" t="str">
        <f t="shared" si="58"/>
        <v>Vojkova 101B</v>
      </c>
      <c r="U347" s="694">
        <v>5000</v>
      </c>
      <c r="V347" s="688" t="str">
        <f t="shared" si="59"/>
        <v>Nova Gorica</v>
      </c>
      <c r="W347" s="695"/>
      <c r="X347" s="696">
        <v>2004</v>
      </c>
      <c r="Y347" s="688"/>
      <c r="Z347" s="688"/>
      <c r="AA347" s="688"/>
      <c r="AB347" s="688"/>
      <c r="AC347" s="688"/>
      <c r="AD347" s="688"/>
      <c r="AE347" s="689"/>
      <c r="AF347" s="693"/>
      <c r="AG347" s="688"/>
      <c r="AH347" s="693"/>
      <c r="AI347" s="697">
        <v>2004</v>
      </c>
      <c r="AJ347" s="698" t="s">
        <v>2068</v>
      </c>
      <c r="AK347" s="699">
        <f t="shared" si="60"/>
        <v>116193</v>
      </c>
      <c r="AL347" s="685" t="s">
        <v>159</v>
      </c>
      <c r="AM347" s="699">
        <v>2500</v>
      </c>
      <c r="AN347" s="699">
        <v>1000</v>
      </c>
    </row>
    <row r="348" spans="1:40" x14ac:dyDescent="0.3">
      <c r="A348" s="669" t="s">
        <v>2069</v>
      </c>
      <c r="B348" s="686" t="e">
        <f t="shared" si="57"/>
        <v>#REF!</v>
      </c>
      <c r="C348" s="687">
        <f t="shared" si="56"/>
        <v>347</v>
      </c>
      <c r="D348" s="688">
        <v>100</v>
      </c>
      <c r="E348" s="688">
        <v>303</v>
      </c>
      <c r="F348" s="689"/>
      <c r="G348" s="689">
        <v>43.08</v>
      </c>
      <c r="H348" s="690">
        <v>1.024</v>
      </c>
      <c r="I348" s="691">
        <f t="shared" si="51"/>
        <v>0</v>
      </c>
      <c r="J348" s="692">
        <f t="shared" si="52"/>
        <v>0</v>
      </c>
      <c r="K348" s="692">
        <v>0</v>
      </c>
      <c r="L348" s="692">
        <f t="shared" si="53"/>
        <v>0</v>
      </c>
      <c r="M348" s="693">
        <v>5.08</v>
      </c>
      <c r="N348" s="693"/>
      <c r="O348" s="691"/>
      <c r="P348" s="688" t="s">
        <v>2067</v>
      </c>
      <c r="Q348" s="694">
        <v>5000</v>
      </c>
      <c r="R348" s="688" t="s">
        <v>93</v>
      </c>
      <c r="S348" s="688" t="e">
        <f>+#REF!</f>
        <v>#REF!</v>
      </c>
      <c r="T348" s="688" t="str">
        <f t="shared" si="58"/>
        <v>Vojkova 101B</v>
      </c>
      <c r="U348" s="694">
        <v>5000</v>
      </c>
      <c r="V348" s="688" t="str">
        <f t="shared" si="59"/>
        <v>Nova Gorica</v>
      </c>
      <c r="W348" s="695"/>
      <c r="X348" s="696">
        <v>2004</v>
      </c>
      <c r="Y348" s="688"/>
      <c r="Z348" s="688"/>
      <c r="AA348" s="688"/>
      <c r="AB348" s="688"/>
      <c r="AC348" s="688"/>
      <c r="AD348" s="688"/>
      <c r="AE348" s="689"/>
      <c r="AF348" s="693"/>
      <c r="AG348" s="688"/>
      <c r="AH348" s="693"/>
      <c r="AI348" s="697">
        <v>2004</v>
      </c>
      <c r="AJ348" s="698" t="s">
        <v>2070</v>
      </c>
      <c r="AK348" s="699">
        <f t="shared" si="60"/>
        <v>47388</v>
      </c>
      <c r="AL348" s="685" t="s">
        <v>159</v>
      </c>
      <c r="AM348" s="699">
        <v>2500</v>
      </c>
      <c r="AN348" s="699">
        <v>1000</v>
      </c>
    </row>
    <row r="349" spans="1:40" x14ac:dyDescent="0.3">
      <c r="A349" s="669" t="s">
        <v>2071</v>
      </c>
      <c r="B349" s="686" t="e">
        <f>+#REF!+1</f>
        <v>#REF!</v>
      </c>
      <c r="C349" s="687">
        <v>348</v>
      </c>
      <c r="D349" s="688">
        <v>100</v>
      </c>
      <c r="E349" s="688">
        <v>303</v>
      </c>
      <c r="F349" s="689"/>
      <c r="G349" s="689">
        <v>105.86</v>
      </c>
      <c r="H349" s="690">
        <v>0.96599999999999997</v>
      </c>
      <c r="I349" s="691">
        <f t="shared" si="51"/>
        <v>0</v>
      </c>
      <c r="J349" s="692">
        <f t="shared" si="52"/>
        <v>0</v>
      </c>
      <c r="K349" s="692">
        <v>0</v>
      </c>
      <c r="L349" s="692">
        <f t="shared" si="53"/>
        <v>0</v>
      </c>
      <c r="M349" s="700">
        <v>1.91</v>
      </c>
      <c r="N349" s="693">
        <v>1.67</v>
      </c>
      <c r="O349" s="691">
        <f>ROUND(+I349*N349/(12*100),0)</f>
        <v>0</v>
      </c>
      <c r="P349" s="688" t="s">
        <v>2067</v>
      </c>
      <c r="Q349" s="694">
        <v>5000</v>
      </c>
      <c r="R349" s="688" t="s">
        <v>93</v>
      </c>
      <c r="S349" s="688" t="e">
        <f>+#REF!</f>
        <v>#REF!</v>
      </c>
      <c r="T349" s="688" t="str">
        <f t="shared" si="58"/>
        <v>Vojkova 101B</v>
      </c>
      <c r="U349" s="694">
        <v>5000</v>
      </c>
      <c r="V349" s="688" t="str">
        <f t="shared" si="59"/>
        <v>Nova Gorica</v>
      </c>
      <c r="W349" s="695"/>
      <c r="X349" s="696">
        <v>2004</v>
      </c>
      <c r="Y349" s="688"/>
      <c r="Z349" s="688"/>
      <c r="AA349" s="688"/>
      <c r="AB349" s="688"/>
      <c r="AC349" s="688"/>
      <c r="AD349" s="688"/>
      <c r="AE349" s="689"/>
      <c r="AF349" s="693"/>
      <c r="AG349" s="688"/>
      <c r="AH349" s="693"/>
      <c r="AI349" s="697">
        <v>2004</v>
      </c>
      <c r="AJ349" s="698" t="s">
        <v>2072</v>
      </c>
      <c r="AK349" s="699">
        <f t="shared" si="60"/>
        <v>116446</v>
      </c>
      <c r="AL349" s="685" t="s">
        <v>159</v>
      </c>
      <c r="AM349" s="699">
        <v>2500</v>
      </c>
      <c r="AN349" s="699">
        <v>1000</v>
      </c>
    </row>
    <row r="350" spans="1:40" x14ac:dyDescent="0.3">
      <c r="A350" s="669" t="s">
        <v>2073</v>
      </c>
      <c r="B350" s="686" t="e">
        <f t="shared" si="57"/>
        <v>#REF!</v>
      </c>
      <c r="C350" s="687">
        <f t="shared" si="56"/>
        <v>349</v>
      </c>
      <c r="D350" s="688">
        <v>100</v>
      </c>
      <c r="E350" s="688">
        <v>299</v>
      </c>
      <c r="F350" s="689"/>
      <c r="G350" s="689">
        <v>43.04</v>
      </c>
      <c r="H350" s="690">
        <v>1.024</v>
      </c>
      <c r="I350" s="691">
        <f t="shared" si="51"/>
        <v>0</v>
      </c>
      <c r="J350" s="692">
        <f t="shared" si="52"/>
        <v>0</v>
      </c>
      <c r="K350" s="692">
        <v>0</v>
      </c>
      <c r="L350" s="692">
        <f t="shared" si="53"/>
        <v>0</v>
      </c>
      <c r="M350" s="693">
        <v>5.08</v>
      </c>
      <c r="N350" s="693"/>
      <c r="O350" s="691"/>
      <c r="P350" s="688" t="s">
        <v>2067</v>
      </c>
      <c r="Q350" s="694">
        <v>5000</v>
      </c>
      <c r="R350" s="688" t="s">
        <v>93</v>
      </c>
      <c r="S350" s="688" t="e">
        <f>+#REF!</f>
        <v>#REF!</v>
      </c>
      <c r="T350" s="688" t="str">
        <f t="shared" si="58"/>
        <v>Vojkova 101B</v>
      </c>
      <c r="U350" s="694">
        <v>5000</v>
      </c>
      <c r="V350" s="688" t="str">
        <f t="shared" si="59"/>
        <v>Nova Gorica</v>
      </c>
      <c r="W350" s="695"/>
      <c r="X350" s="696">
        <v>2004</v>
      </c>
      <c r="Y350" s="688"/>
      <c r="Z350" s="688"/>
      <c r="AA350" s="688"/>
      <c r="AB350" s="688"/>
      <c r="AC350" s="688"/>
      <c r="AD350" s="688"/>
      <c r="AE350" s="689"/>
      <c r="AF350" s="693"/>
      <c r="AG350" s="688"/>
      <c r="AH350" s="693"/>
      <c r="AI350" s="697">
        <v>2004</v>
      </c>
      <c r="AJ350" s="698" t="s">
        <v>2074</v>
      </c>
      <c r="AK350" s="699">
        <f t="shared" si="60"/>
        <v>47344</v>
      </c>
      <c r="AL350" s="685" t="s">
        <v>159</v>
      </c>
      <c r="AM350" s="699">
        <v>2500</v>
      </c>
      <c r="AN350" s="699">
        <v>1000</v>
      </c>
    </row>
    <row r="351" spans="1:40" x14ac:dyDescent="0.3">
      <c r="A351" s="669" t="s">
        <v>2075</v>
      </c>
      <c r="B351" s="686" t="e">
        <f>+B350+1</f>
        <v>#REF!</v>
      </c>
      <c r="C351" s="687">
        <v>350</v>
      </c>
      <c r="D351" s="688">
        <v>100</v>
      </c>
      <c r="E351" s="688">
        <v>303</v>
      </c>
      <c r="F351" s="689"/>
      <c r="G351" s="689">
        <v>104.29</v>
      </c>
      <c r="H351" s="690">
        <v>0.96599999999999997</v>
      </c>
      <c r="I351" s="691">
        <f t="shared" si="51"/>
        <v>0</v>
      </c>
      <c r="J351" s="692">
        <f t="shared" si="52"/>
        <v>0</v>
      </c>
      <c r="K351" s="692">
        <v>0</v>
      </c>
      <c r="L351" s="692">
        <f t="shared" si="53"/>
        <v>0</v>
      </c>
      <c r="M351" s="693">
        <v>5.08</v>
      </c>
      <c r="N351" s="693"/>
      <c r="O351" s="691"/>
      <c r="P351" s="688" t="s">
        <v>2076</v>
      </c>
      <c r="Q351" s="694">
        <v>5000</v>
      </c>
      <c r="R351" s="688" t="s">
        <v>93</v>
      </c>
      <c r="S351" s="688" t="e">
        <f>+#REF!</f>
        <v>#REF!</v>
      </c>
      <c r="T351" s="688" t="str">
        <f t="shared" si="58"/>
        <v>Vojkova 103A</v>
      </c>
      <c r="U351" s="694">
        <v>5000</v>
      </c>
      <c r="V351" s="688" t="str">
        <f t="shared" si="59"/>
        <v>Nova Gorica</v>
      </c>
      <c r="W351" s="695"/>
      <c r="X351" s="696">
        <v>2004</v>
      </c>
      <c r="Y351" s="688"/>
      <c r="Z351" s="688"/>
      <c r="AA351" s="688"/>
      <c r="AB351" s="688"/>
      <c r="AC351" s="688"/>
      <c r="AD351" s="688"/>
      <c r="AE351" s="689"/>
      <c r="AF351" s="693"/>
      <c r="AG351" s="688"/>
      <c r="AH351" s="693"/>
      <c r="AI351" s="697">
        <v>2004</v>
      </c>
      <c r="AJ351" s="698" t="s">
        <v>2077</v>
      </c>
      <c r="AK351" s="699">
        <f t="shared" si="60"/>
        <v>114719</v>
      </c>
      <c r="AL351" s="685" t="s">
        <v>159</v>
      </c>
      <c r="AM351" s="699">
        <v>2500</v>
      </c>
      <c r="AN351" s="699">
        <v>1000</v>
      </c>
    </row>
    <row r="352" spans="1:40" x14ac:dyDescent="0.3">
      <c r="A352" s="669" t="s">
        <v>2078</v>
      </c>
      <c r="B352" s="686" t="e">
        <f t="shared" si="57"/>
        <v>#REF!</v>
      </c>
      <c r="C352" s="687">
        <f t="shared" si="56"/>
        <v>351</v>
      </c>
      <c r="D352" s="688">
        <v>100</v>
      </c>
      <c r="E352" s="688">
        <v>299</v>
      </c>
      <c r="F352" s="689"/>
      <c r="G352" s="689">
        <v>88.45</v>
      </c>
      <c r="H352" s="690">
        <v>0.96599999999999997</v>
      </c>
      <c r="I352" s="691">
        <f t="shared" si="51"/>
        <v>0</v>
      </c>
      <c r="J352" s="692">
        <f t="shared" si="52"/>
        <v>0</v>
      </c>
      <c r="K352" s="692">
        <v>0</v>
      </c>
      <c r="L352" s="692">
        <f t="shared" si="53"/>
        <v>0</v>
      </c>
      <c r="M352" s="693">
        <v>5.08</v>
      </c>
      <c r="N352" s="732" t="e">
        <f>+N351/#REF!</f>
        <v>#REF!</v>
      </c>
      <c r="O352" s="691" t="e">
        <f>ROUND(+I352*N352/(12*100),0)</f>
        <v>#REF!</v>
      </c>
      <c r="P352" s="688" t="s">
        <v>2076</v>
      </c>
      <c r="Q352" s="694">
        <v>5000</v>
      </c>
      <c r="R352" s="688" t="s">
        <v>93</v>
      </c>
      <c r="S352" s="688" t="e">
        <f>+#REF!</f>
        <v>#REF!</v>
      </c>
      <c r="T352" s="688" t="str">
        <f t="shared" si="58"/>
        <v>Vojkova 103A</v>
      </c>
      <c r="U352" s="694">
        <v>5000</v>
      </c>
      <c r="V352" s="688" t="str">
        <f t="shared" si="59"/>
        <v>Nova Gorica</v>
      </c>
      <c r="W352" s="695"/>
      <c r="X352" s="696">
        <v>2004</v>
      </c>
      <c r="Y352" s="688"/>
      <c r="Z352" s="688"/>
      <c r="AA352" s="688"/>
      <c r="AB352" s="688"/>
      <c r="AC352" s="688"/>
      <c r="AD352" s="688"/>
      <c r="AE352" s="689"/>
      <c r="AF352" s="693"/>
      <c r="AG352" s="688"/>
      <c r="AH352" s="693"/>
      <c r="AI352" s="697">
        <v>2004</v>
      </c>
      <c r="AJ352" s="698" t="s">
        <v>2079</v>
      </c>
      <c r="AK352" s="699">
        <f t="shared" si="60"/>
        <v>97295</v>
      </c>
      <c r="AL352" s="685" t="s">
        <v>159</v>
      </c>
      <c r="AM352" s="699">
        <v>2500</v>
      </c>
      <c r="AN352" s="699">
        <v>1000</v>
      </c>
    </row>
    <row r="353" spans="1:40" x14ac:dyDescent="0.3">
      <c r="A353" s="669" t="s">
        <v>2080</v>
      </c>
      <c r="B353" s="686" t="e">
        <f t="shared" si="57"/>
        <v>#REF!</v>
      </c>
      <c r="C353" s="687">
        <f t="shared" si="56"/>
        <v>352</v>
      </c>
      <c r="D353" s="688">
        <v>100</v>
      </c>
      <c r="E353" s="688">
        <v>303</v>
      </c>
      <c r="F353" s="689"/>
      <c r="G353" s="689">
        <v>106.05</v>
      </c>
      <c r="H353" s="690">
        <v>0.96599999999999997</v>
      </c>
      <c r="I353" s="691">
        <f t="shared" si="51"/>
        <v>0</v>
      </c>
      <c r="J353" s="692">
        <f t="shared" si="52"/>
        <v>0</v>
      </c>
      <c r="K353" s="692">
        <v>0</v>
      </c>
      <c r="L353" s="692">
        <f t="shared" si="53"/>
        <v>0</v>
      </c>
      <c r="M353" s="693">
        <v>5.08</v>
      </c>
      <c r="N353" s="693"/>
      <c r="O353" s="691"/>
      <c r="P353" s="688" t="s">
        <v>2076</v>
      </c>
      <c r="Q353" s="694">
        <v>5000</v>
      </c>
      <c r="R353" s="688" t="s">
        <v>93</v>
      </c>
      <c r="S353" s="688" t="e">
        <f>+#REF!</f>
        <v>#REF!</v>
      </c>
      <c r="T353" s="688" t="str">
        <f t="shared" si="58"/>
        <v>Vojkova 103A</v>
      </c>
      <c r="U353" s="694">
        <v>5000</v>
      </c>
      <c r="V353" s="688" t="str">
        <f t="shared" si="59"/>
        <v>Nova Gorica</v>
      </c>
      <c r="W353" s="695"/>
      <c r="X353" s="696">
        <v>2004</v>
      </c>
      <c r="Y353" s="688"/>
      <c r="Z353" s="688"/>
      <c r="AA353" s="688"/>
      <c r="AB353" s="688"/>
      <c r="AC353" s="688"/>
      <c r="AD353" s="688"/>
      <c r="AE353" s="689"/>
      <c r="AF353" s="693"/>
      <c r="AG353" s="688"/>
      <c r="AH353" s="693"/>
      <c r="AI353" s="697">
        <v>2004</v>
      </c>
      <c r="AJ353" s="698" t="s">
        <v>2081</v>
      </c>
      <c r="AK353" s="699">
        <f t="shared" si="60"/>
        <v>116655</v>
      </c>
      <c r="AL353" s="685" t="s">
        <v>159</v>
      </c>
      <c r="AM353" s="699">
        <v>2500</v>
      </c>
      <c r="AN353" s="699">
        <v>1000</v>
      </c>
    </row>
    <row r="354" spans="1:40" x14ac:dyDescent="0.3">
      <c r="A354" s="669" t="s">
        <v>2082</v>
      </c>
      <c r="B354" s="686" t="e">
        <f t="shared" si="57"/>
        <v>#REF!</v>
      </c>
      <c r="C354" s="687">
        <f t="shared" si="56"/>
        <v>353</v>
      </c>
      <c r="D354" s="688">
        <v>100</v>
      </c>
      <c r="E354" s="688">
        <v>299</v>
      </c>
      <c r="F354" s="689"/>
      <c r="G354" s="689">
        <v>88.45</v>
      </c>
      <c r="H354" s="690">
        <v>0.96599999999999997</v>
      </c>
      <c r="I354" s="691">
        <f t="shared" si="51"/>
        <v>0</v>
      </c>
      <c r="J354" s="692">
        <f t="shared" si="52"/>
        <v>0</v>
      </c>
      <c r="K354" s="692">
        <v>0</v>
      </c>
      <c r="L354" s="692">
        <f t="shared" si="53"/>
        <v>0</v>
      </c>
      <c r="M354" s="693">
        <v>6.35</v>
      </c>
      <c r="N354" s="693"/>
      <c r="O354" s="691"/>
      <c r="P354" s="688" t="s">
        <v>2083</v>
      </c>
      <c r="Q354" s="694">
        <v>5000</v>
      </c>
      <c r="R354" s="688" t="s">
        <v>93</v>
      </c>
      <c r="S354" s="688" t="e">
        <f>+#REF!</f>
        <v>#REF!</v>
      </c>
      <c r="T354" s="688" t="str">
        <f t="shared" si="58"/>
        <v>Vojkova 103B</v>
      </c>
      <c r="U354" s="694">
        <v>5000</v>
      </c>
      <c r="V354" s="688" t="str">
        <f t="shared" si="59"/>
        <v>Nova Gorica</v>
      </c>
      <c r="W354" s="695"/>
      <c r="X354" s="696">
        <v>2004</v>
      </c>
      <c r="Y354" s="688"/>
      <c r="Z354" s="688"/>
      <c r="AA354" s="688"/>
      <c r="AB354" s="688"/>
      <c r="AC354" s="688"/>
      <c r="AD354" s="688"/>
      <c r="AE354" s="689"/>
      <c r="AF354" s="693"/>
      <c r="AG354" s="688"/>
      <c r="AH354" s="693"/>
      <c r="AI354" s="697">
        <v>2004</v>
      </c>
      <c r="AJ354" s="698" t="s">
        <v>2084</v>
      </c>
      <c r="AK354" s="699">
        <f t="shared" si="60"/>
        <v>97295</v>
      </c>
      <c r="AL354" s="685" t="s">
        <v>159</v>
      </c>
      <c r="AM354" s="699">
        <v>2500</v>
      </c>
      <c r="AN354" s="699">
        <v>1000</v>
      </c>
    </row>
    <row r="355" spans="1:40" x14ac:dyDescent="0.3">
      <c r="A355" s="669" t="s">
        <v>2085</v>
      </c>
      <c r="B355" s="686" t="e">
        <f t="shared" si="57"/>
        <v>#REF!</v>
      </c>
      <c r="C355" s="687">
        <f t="shared" si="56"/>
        <v>354</v>
      </c>
      <c r="D355" s="688">
        <v>100</v>
      </c>
      <c r="E355" s="688">
        <v>303</v>
      </c>
      <c r="F355" s="689"/>
      <c r="G355" s="689">
        <v>99.85</v>
      </c>
      <c r="H355" s="690">
        <v>0.96599999999999997</v>
      </c>
      <c r="I355" s="691">
        <f t="shared" si="51"/>
        <v>0</v>
      </c>
      <c r="J355" s="692">
        <f t="shared" si="52"/>
        <v>0</v>
      </c>
      <c r="K355" s="692">
        <v>0</v>
      </c>
      <c r="L355" s="692">
        <f t="shared" si="53"/>
        <v>0</v>
      </c>
      <c r="M355" s="693">
        <v>1.91</v>
      </c>
      <c r="N355" s="693">
        <v>1.67</v>
      </c>
      <c r="O355" s="691">
        <f>ROUND(+I355*N355/(12*100),0)</f>
        <v>0</v>
      </c>
      <c r="P355" s="688" t="s">
        <v>2083</v>
      </c>
      <c r="Q355" s="694">
        <v>5000</v>
      </c>
      <c r="R355" s="688" t="s">
        <v>93</v>
      </c>
      <c r="S355" s="688" t="e">
        <f>+#REF!</f>
        <v>#REF!</v>
      </c>
      <c r="T355" s="688" t="str">
        <f t="shared" si="58"/>
        <v>Vojkova 103B</v>
      </c>
      <c r="U355" s="694">
        <v>5000</v>
      </c>
      <c r="V355" s="688" t="str">
        <f t="shared" si="59"/>
        <v>Nova Gorica</v>
      </c>
      <c r="W355" s="695"/>
      <c r="X355" s="696">
        <v>2004</v>
      </c>
      <c r="Y355" s="688"/>
      <c r="Z355" s="688"/>
      <c r="AA355" s="688"/>
      <c r="AB355" s="688"/>
      <c r="AC355" s="688"/>
      <c r="AD355" s="688"/>
      <c r="AE355" s="689"/>
      <c r="AF355" s="693"/>
      <c r="AG355" s="688"/>
      <c r="AH355" s="693"/>
      <c r="AI355" s="697">
        <v>2004</v>
      </c>
      <c r="AJ355" s="698" t="s">
        <v>2086</v>
      </c>
      <c r="AK355" s="699">
        <f t="shared" si="60"/>
        <v>109835</v>
      </c>
      <c r="AL355" s="685" t="s">
        <v>159</v>
      </c>
      <c r="AM355" s="699">
        <v>2500</v>
      </c>
      <c r="AN355" s="699">
        <v>1000</v>
      </c>
    </row>
    <row r="356" spans="1:40" x14ac:dyDescent="0.3">
      <c r="A356" s="669" t="s">
        <v>2087</v>
      </c>
      <c r="B356" s="686" t="e">
        <f t="shared" si="57"/>
        <v>#REF!</v>
      </c>
      <c r="C356" s="687">
        <f t="shared" si="56"/>
        <v>355</v>
      </c>
      <c r="D356" s="688">
        <v>100</v>
      </c>
      <c r="E356" s="688">
        <v>303</v>
      </c>
      <c r="F356" s="689"/>
      <c r="G356" s="689">
        <v>107.22</v>
      </c>
      <c r="H356" s="690">
        <v>0.96599999999999997</v>
      </c>
      <c r="I356" s="691">
        <f t="shared" si="51"/>
        <v>0</v>
      </c>
      <c r="J356" s="692">
        <f t="shared" si="52"/>
        <v>0</v>
      </c>
      <c r="K356" s="692">
        <v>0</v>
      </c>
      <c r="L356" s="692">
        <f t="shared" si="53"/>
        <v>0</v>
      </c>
      <c r="M356" s="693">
        <v>5.08</v>
      </c>
      <c r="N356" s="693"/>
      <c r="O356" s="691"/>
      <c r="P356" s="688" t="s">
        <v>2083</v>
      </c>
      <c r="Q356" s="694">
        <v>5000</v>
      </c>
      <c r="R356" s="688" t="s">
        <v>93</v>
      </c>
      <c r="S356" s="688" t="e">
        <f>+#REF!</f>
        <v>#REF!</v>
      </c>
      <c r="T356" s="688" t="str">
        <f t="shared" si="58"/>
        <v>Vojkova 103B</v>
      </c>
      <c r="U356" s="694">
        <v>5000</v>
      </c>
      <c r="V356" s="688" t="str">
        <f t="shared" si="59"/>
        <v>Nova Gorica</v>
      </c>
      <c r="W356" s="695"/>
      <c r="X356" s="696">
        <v>2004</v>
      </c>
      <c r="Y356" s="688"/>
      <c r="Z356" s="688"/>
      <c r="AA356" s="688"/>
      <c r="AB356" s="688"/>
      <c r="AC356" s="688"/>
      <c r="AD356" s="688"/>
      <c r="AE356" s="689"/>
      <c r="AF356" s="693"/>
      <c r="AG356" s="688"/>
      <c r="AH356" s="693"/>
      <c r="AI356" s="697">
        <v>2004</v>
      </c>
      <c r="AJ356" s="698" t="s">
        <v>2088</v>
      </c>
      <c r="AK356" s="699">
        <f t="shared" si="60"/>
        <v>117942</v>
      </c>
      <c r="AL356" s="685" t="s">
        <v>159</v>
      </c>
      <c r="AM356" s="699">
        <v>2500</v>
      </c>
      <c r="AN356" s="699">
        <v>1000</v>
      </c>
    </row>
    <row r="357" spans="1:40" x14ac:dyDescent="0.3">
      <c r="A357" s="669" t="s">
        <v>2089</v>
      </c>
      <c r="B357" s="686" t="e">
        <f t="shared" si="57"/>
        <v>#REF!</v>
      </c>
      <c r="C357" s="687">
        <f t="shared" si="56"/>
        <v>356</v>
      </c>
      <c r="D357" s="688">
        <v>100</v>
      </c>
      <c r="E357" s="688">
        <v>299</v>
      </c>
      <c r="F357" s="689"/>
      <c r="G357" s="689">
        <v>103.54</v>
      </c>
      <c r="H357" s="690">
        <v>0.96599999999999997</v>
      </c>
      <c r="I357" s="691">
        <f t="shared" si="51"/>
        <v>0</v>
      </c>
      <c r="J357" s="692">
        <f t="shared" si="52"/>
        <v>0</v>
      </c>
      <c r="K357" s="692">
        <v>0</v>
      </c>
      <c r="L357" s="692">
        <f t="shared" si="53"/>
        <v>0</v>
      </c>
      <c r="M357" s="693">
        <v>1.91</v>
      </c>
      <c r="N357" s="693">
        <v>1.67</v>
      </c>
      <c r="O357" s="691">
        <f>ROUND(+I357*N357/(12*100),0)</f>
        <v>0</v>
      </c>
      <c r="P357" s="688" t="s">
        <v>2090</v>
      </c>
      <c r="Q357" s="694">
        <v>5000</v>
      </c>
      <c r="R357" s="688" t="s">
        <v>93</v>
      </c>
      <c r="S357" s="688" t="e">
        <f>+#REF!</f>
        <v>#REF!</v>
      </c>
      <c r="T357" s="688" t="str">
        <f t="shared" si="58"/>
        <v>Vojkova 105A</v>
      </c>
      <c r="U357" s="694">
        <v>5000</v>
      </c>
      <c r="V357" s="688" t="str">
        <f t="shared" si="59"/>
        <v>Nova Gorica</v>
      </c>
      <c r="W357" s="695"/>
      <c r="X357" s="696">
        <v>2004</v>
      </c>
      <c r="Y357" s="688"/>
      <c r="Z357" s="688"/>
      <c r="AA357" s="688"/>
      <c r="AB357" s="688"/>
      <c r="AC357" s="688"/>
      <c r="AD357" s="688"/>
      <c r="AE357" s="689"/>
      <c r="AF357" s="693"/>
      <c r="AG357" s="688"/>
      <c r="AH357" s="693"/>
      <c r="AI357" s="697">
        <v>2004</v>
      </c>
      <c r="AJ357" s="698" t="s">
        <v>2091</v>
      </c>
      <c r="AK357" s="699">
        <f t="shared" si="60"/>
        <v>113894</v>
      </c>
      <c r="AL357" s="685" t="s">
        <v>159</v>
      </c>
      <c r="AM357" s="699">
        <v>2500</v>
      </c>
      <c r="AN357" s="699">
        <v>1000</v>
      </c>
    </row>
    <row r="358" spans="1:40" x14ac:dyDescent="0.3">
      <c r="A358" s="669" t="s">
        <v>2092</v>
      </c>
      <c r="B358" s="686" t="e">
        <f t="shared" si="57"/>
        <v>#REF!</v>
      </c>
      <c r="C358" s="687">
        <f t="shared" si="56"/>
        <v>357</v>
      </c>
      <c r="D358" s="688">
        <v>100</v>
      </c>
      <c r="E358" s="688">
        <v>303</v>
      </c>
      <c r="F358" s="689"/>
      <c r="G358" s="689">
        <v>99.85</v>
      </c>
      <c r="H358" s="690">
        <v>0.96599999999999997</v>
      </c>
      <c r="I358" s="691">
        <f t="shared" si="51"/>
        <v>0</v>
      </c>
      <c r="J358" s="692">
        <f t="shared" si="52"/>
        <v>0</v>
      </c>
      <c r="K358" s="692"/>
      <c r="L358" s="692">
        <f t="shared" si="53"/>
        <v>0</v>
      </c>
      <c r="M358" s="693">
        <v>5.08</v>
      </c>
      <c r="N358" s="693"/>
      <c r="O358" s="691"/>
      <c r="P358" s="688" t="s">
        <v>2090</v>
      </c>
      <c r="Q358" s="694">
        <v>5000</v>
      </c>
      <c r="R358" s="688" t="s">
        <v>93</v>
      </c>
      <c r="S358" s="688" t="e">
        <f>+#REF!</f>
        <v>#REF!</v>
      </c>
      <c r="T358" s="688"/>
      <c r="U358" s="694"/>
      <c r="V358" s="688"/>
      <c r="W358" s="695"/>
      <c r="X358" s="696"/>
      <c r="Y358" s="688"/>
      <c r="Z358" s="688"/>
      <c r="AA358" s="688"/>
      <c r="AB358" s="688"/>
      <c r="AC358" s="688"/>
      <c r="AD358" s="688"/>
      <c r="AE358" s="689"/>
      <c r="AF358" s="693"/>
      <c r="AG358" s="688"/>
      <c r="AH358" s="693"/>
      <c r="AI358" s="697">
        <v>2004</v>
      </c>
      <c r="AJ358" s="698" t="s">
        <v>2093</v>
      </c>
      <c r="AK358" s="699">
        <f t="shared" si="60"/>
        <v>109835</v>
      </c>
      <c r="AL358" s="685" t="s">
        <v>159</v>
      </c>
      <c r="AM358" s="699">
        <v>2500</v>
      </c>
      <c r="AN358" s="699">
        <v>1000</v>
      </c>
    </row>
    <row r="359" spans="1:40" x14ac:dyDescent="0.3">
      <c r="A359" s="669" t="s">
        <v>2094</v>
      </c>
      <c r="B359" s="686" t="e">
        <f t="shared" si="57"/>
        <v>#REF!</v>
      </c>
      <c r="C359" s="687">
        <f t="shared" si="56"/>
        <v>358</v>
      </c>
      <c r="D359" s="688">
        <v>100</v>
      </c>
      <c r="E359" s="688">
        <v>303</v>
      </c>
      <c r="F359" s="689"/>
      <c r="G359" s="689">
        <v>104.3</v>
      </c>
      <c r="H359" s="690">
        <v>0.96599999999999997</v>
      </c>
      <c r="I359" s="691">
        <f t="shared" si="51"/>
        <v>0</v>
      </c>
      <c r="J359" s="692">
        <f t="shared" si="52"/>
        <v>0</v>
      </c>
      <c r="K359" s="692"/>
      <c r="L359" s="692">
        <f t="shared" si="53"/>
        <v>0</v>
      </c>
      <c r="M359" s="693">
        <v>5.08</v>
      </c>
      <c r="N359" s="693">
        <v>0</v>
      </c>
      <c r="O359" s="691"/>
      <c r="P359" s="688" t="s">
        <v>2095</v>
      </c>
      <c r="Q359" s="694">
        <v>5000</v>
      </c>
      <c r="R359" s="688" t="s">
        <v>93</v>
      </c>
      <c r="S359" s="688" t="e">
        <f>+#REF!</f>
        <v>#REF!</v>
      </c>
      <c r="T359" s="688" t="s">
        <v>2095</v>
      </c>
      <c r="U359" s="694">
        <v>5000</v>
      </c>
      <c r="V359" s="688" t="s">
        <v>93</v>
      </c>
      <c r="W359" s="695"/>
      <c r="X359" s="696"/>
      <c r="Y359" s="688"/>
      <c r="Z359" s="688"/>
      <c r="AA359" s="688"/>
      <c r="AB359" s="688"/>
      <c r="AC359" s="688"/>
      <c r="AD359" s="688"/>
      <c r="AE359" s="689"/>
      <c r="AF359" s="693"/>
      <c r="AG359" s="688"/>
      <c r="AH359" s="693"/>
      <c r="AI359" s="697">
        <v>2004</v>
      </c>
      <c r="AJ359" s="698" t="s">
        <v>2096</v>
      </c>
      <c r="AK359" s="699">
        <f t="shared" si="60"/>
        <v>114730</v>
      </c>
      <c r="AL359" s="685" t="s">
        <v>159</v>
      </c>
      <c r="AM359" s="699">
        <v>2500</v>
      </c>
      <c r="AN359" s="699">
        <v>1000</v>
      </c>
    </row>
    <row r="360" spans="1:40" x14ac:dyDescent="0.3">
      <c r="A360" s="669" t="s">
        <v>2097</v>
      </c>
      <c r="B360" s="686" t="e">
        <f t="shared" si="57"/>
        <v>#REF!</v>
      </c>
      <c r="C360" s="687">
        <f t="shared" si="56"/>
        <v>359</v>
      </c>
      <c r="D360" s="688">
        <v>100</v>
      </c>
      <c r="E360" s="688">
        <v>299</v>
      </c>
      <c r="F360" s="689"/>
      <c r="G360" s="689">
        <v>101.23</v>
      </c>
      <c r="H360" s="690">
        <v>0.96599999999999997</v>
      </c>
      <c r="I360" s="691">
        <f t="shared" si="51"/>
        <v>0</v>
      </c>
      <c r="J360" s="692">
        <f t="shared" si="52"/>
        <v>0</v>
      </c>
      <c r="K360" s="692"/>
      <c r="L360" s="692">
        <f t="shared" si="53"/>
        <v>0</v>
      </c>
      <c r="M360" s="693">
        <v>1.91</v>
      </c>
      <c r="N360" s="693">
        <v>1.67</v>
      </c>
      <c r="O360" s="691">
        <f>ROUND(+I360*N360/(12*100),0)</f>
        <v>0</v>
      </c>
      <c r="P360" s="688" t="s">
        <v>2098</v>
      </c>
      <c r="Q360" s="694">
        <v>5000</v>
      </c>
      <c r="R360" s="688" t="s">
        <v>886</v>
      </c>
      <c r="S360" s="688" t="e">
        <f>+#REF!</f>
        <v>#REF!</v>
      </c>
      <c r="T360" s="688" t="s">
        <v>2098</v>
      </c>
      <c r="U360" s="694">
        <v>5000</v>
      </c>
      <c r="V360" s="688" t="s">
        <v>886</v>
      </c>
      <c r="W360" s="695"/>
      <c r="X360" s="696"/>
      <c r="Y360" s="688"/>
      <c r="Z360" s="688"/>
      <c r="AA360" s="688"/>
      <c r="AB360" s="688"/>
      <c r="AC360" s="688"/>
      <c r="AD360" s="688"/>
      <c r="AE360" s="689"/>
      <c r="AF360" s="693"/>
      <c r="AG360" s="688"/>
      <c r="AH360" s="693"/>
      <c r="AI360" s="697">
        <v>2004</v>
      </c>
      <c r="AJ360" s="698" t="s">
        <v>2099</v>
      </c>
      <c r="AK360" s="699">
        <f t="shared" si="60"/>
        <v>111353</v>
      </c>
      <c r="AL360" s="685" t="s">
        <v>159</v>
      </c>
      <c r="AM360" s="699">
        <v>2500</v>
      </c>
      <c r="AN360" s="699">
        <v>1000</v>
      </c>
    </row>
    <row r="361" spans="1:40" x14ac:dyDescent="0.3">
      <c r="A361" s="669" t="s">
        <v>2100</v>
      </c>
      <c r="B361" s="686" t="e">
        <f>+#REF!+1</f>
        <v>#REF!</v>
      </c>
      <c r="C361" s="687">
        <v>360</v>
      </c>
      <c r="D361" s="688">
        <v>100</v>
      </c>
      <c r="E361" s="688">
        <v>276</v>
      </c>
      <c r="F361" s="689"/>
      <c r="G361" s="689">
        <v>65.13</v>
      </c>
      <c r="H361" s="690">
        <v>1</v>
      </c>
      <c r="I361" s="691">
        <f t="shared" si="51"/>
        <v>0</v>
      </c>
      <c r="J361" s="692">
        <f t="shared" si="52"/>
        <v>0</v>
      </c>
      <c r="K361" s="692">
        <v>0</v>
      </c>
      <c r="L361" s="692">
        <f t="shared" si="53"/>
        <v>0</v>
      </c>
      <c r="M361" s="693">
        <v>1.91</v>
      </c>
      <c r="N361" s="693">
        <v>1.67</v>
      </c>
      <c r="O361" s="691">
        <f t="shared" ref="O361:O372" si="61">ROUND(+I361*N361/(12*100),0)</f>
        <v>0</v>
      </c>
      <c r="P361" s="688" t="s">
        <v>2101</v>
      </c>
      <c r="Q361" s="694">
        <v>5000</v>
      </c>
      <c r="R361" s="688" t="s">
        <v>886</v>
      </c>
      <c r="S361" s="688" t="e">
        <f>+#REF!</f>
        <v>#REF!</v>
      </c>
      <c r="T361" s="688" t="s">
        <v>2101</v>
      </c>
      <c r="U361" s="694">
        <v>5000</v>
      </c>
      <c r="V361" s="688" t="s">
        <v>886</v>
      </c>
      <c r="W361" s="695">
        <v>34335</v>
      </c>
      <c r="X361" s="696" t="s">
        <v>2102</v>
      </c>
      <c r="Y361" s="688" t="s">
        <v>2103</v>
      </c>
      <c r="Z361" s="688" t="s">
        <v>2104</v>
      </c>
      <c r="AA361" s="688" t="s">
        <v>891</v>
      </c>
      <c r="AB361" s="688" t="s">
        <v>891</v>
      </c>
      <c r="AC361" s="688"/>
      <c r="AD361" s="688"/>
      <c r="AE361" s="689">
        <v>11172548.699999999</v>
      </c>
      <c r="AF361" s="693">
        <v>7.2</v>
      </c>
      <c r="AG361" s="688" t="s">
        <v>891</v>
      </c>
      <c r="AH361" s="693">
        <v>1.71</v>
      </c>
      <c r="AI361" s="697" t="s">
        <v>2102</v>
      </c>
      <c r="AJ361" s="698" t="s">
        <v>2105</v>
      </c>
      <c r="AK361" s="699">
        <f>G361*1000</f>
        <v>65129.999999999993</v>
      </c>
      <c r="AL361" s="685" t="s">
        <v>159</v>
      </c>
      <c r="AM361" s="699">
        <v>2500</v>
      </c>
      <c r="AN361" s="699">
        <v>1000</v>
      </c>
    </row>
    <row r="362" spans="1:40" x14ac:dyDescent="0.3">
      <c r="A362" s="669" t="s">
        <v>2106</v>
      </c>
      <c r="B362" s="686" t="e">
        <f>+#REF!+1</f>
        <v>#REF!</v>
      </c>
      <c r="C362" s="687">
        <v>361</v>
      </c>
      <c r="D362" s="688">
        <v>100</v>
      </c>
      <c r="E362" s="688">
        <v>276</v>
      </c>
      <c r="F362" s="689"/>
      <c r="G362" s="689">
        <v>67.239999999999995</v>
      </c>
      <c r="H362" s="690">
        <v>1</v>
      </c>
      <c r="I362" s="691">
        <f t="shared" si="51"/>
        <v>0</v>
      </c>
      <c r="J362" s="692">
        <f t="shared" si="52"/>
        <v>0</v>
      </c>
      <c r="K362" s="692">
        <v>0</v>
      </c>
      <c r="L362" s="692">
        <f t="shared" si="53"/>
        <v>0</v>
      </c>
      <c r="M362" s="693">
        <v>5.08</v>
      </c>
      <c r="N362" s="693">
        <v>0</v>
      </c>
      <c r="O362" s="691">
        <f t="shared" si="61"/>
        <v>0</v>
      </c>
      <c r="P362" s="688" t="s">
        <v>2107</v>
      </c>
      <c r="Q362" s="694">
        <v>5000</v>
      </c>
      <c r="R362" s="688" t="s">
        <v>886</v>
      </c>
      <c r="S362" s="688" t="e">
        <f>+#REF!</f>
        <v>#REF!</v>
      </c>
      <c r="T362" s="688" t="s">
        <v>2107</v>
      </c>
      <c r="U362" s="694">
        <v>5000</v>
      </c>
      <c r="V362" s="688" t="s">
        <v>886</v>
      </c>
      <c r="W362" s="695">
        <v>36840</v>
      </c>
      <c r="X362" s="696" t="s">
        <v>1691</v>
      </c>
      <c r="Y362" s="688" t="s">
        <v>2108</v>
      </c>
      <c r="Z362" s="688" t="s">
        <v>2109</v>
      </c>
      <c r="AA362" s="688" t="s">
        <v>891</v>
      </c>
      <c r="AB362" s="688" t="s">
        <v>891</v>
      </c>
      <c r="AC362" s="688"/>
      <c r="AD362" s="688"/>
      <c r="AE362" s="689">
        <v>11534502.91</v>
      </c>
      <c r="AF362" s="693">
        <v>7.4804339999999998</v>
      </c>
      <c r="AG362" s="688" t="s">
        <v>891</v>
      </c>
      <c r="AH362" s="693">
        <v>2.4197890000000002</v>
      </c>
      <c r="AI362" s="697" t="s">
        <v>1691</v>
      </c>
      <c r="AJ362" s="698" t="s">
        <v>2110</v>
      </c>
      <c r="AK362" s="699">
        <f t="shared" ref="AK362:AK369" si="62">G362*1000</f>
        <v>67240</v>
      </c>
      <c r="AL362" s="685" t="s">
        <v>159</v>
      </c>
      <c r="AM362" s="699">
        <v>2500</v>
      </c>
      <c r="AN362" s="699">
        <v>1000</v>
      </c>
    </row>
    <row r="363" spans="1:40" x14ac:dyDescent="0.3">
      <c r="B363" s="686"/>
      <c r="C363" s="687">
        <v>362</v>
      </c>
      <c r="D363" s="688"/>
      <c r="E363" s="688"/>
      <c r="F363" s="689"/>
      <c r="G363" s="689">
        <v>36.700000000000003</v>
      </c>
      <c r="H363" s="690"/>
      <c r="I363" s="691"/>
      <c r="J363" s="692"/>
      <c r="K363" s="692"/>
      <c r="L363" s="692"/>
      <c r="M363" s="693"/>
      <c r="N363" s="693"/>
      <c r="O363" s="691"/>
      <c r="P363" s="688" t="s">
        <v>2111</v>
      </c>
      <c r="Q363" s="694"/>
      <c r="R363" s="688"/>
      <c r="S363" s="688" t="e">
        <f>+#REF!</f>
        <v>#REF!</v>
      </c>
      <c r="T363" s="688"/>
      <c r="U363" s="694"/>
      <c r="V363" s="688"/>
      <c r="W363" s="695"/>
      <c r="X363" s="696"/>
      <c r="Y363" s="688"/>
      <c r="Z363" s="688"/>
      <c r="AA363" s="688"/>
      <c r="AB363" s="688"/>
      <c r="AC363" s="688"/>
      <c r="AD363" s="688"/>
      <c r="AE363" s="689"/>
      <c r="AF363" s="693"/>
      <c r="AG363" s="688"/>
      <c r="AH363" s="693"/>
      <c r="AI363" s="697">
        <v>1988</v>
      </c>
      <c r="AJ363" s="698" t="s">
        <v>2112</v>
      </c>
      <c r="AK363" s="699">
        <f t="shared" si="62"/>
        <v>36700</v>
      </c>
      <c r="AL363" s="685" t="s">
        <v>159</v>
      </c>
      <c r="AM363" s="699">
        <v>2500</v>
      </c>
      <c r="AN363" s="699">
        <v>1000</v>
      </c>
    </row>
    <row r="364" spans="1:40" x14ac:dyDescent="0.3">
      <c r="A364" s="669" t="s">
        <v>2113</v>
      </c>
      <c r="B364" s="686" t="e">
        <f>+B362+1</f>
        <v>#REF!</v>
      </c>
      <c r="C364" s="687">
        <v>363</v>
      </c>
      <c r="D364" s="688">
        <v>100</v>
      </c>
      <c r="E364" s="688">
        <v>268</v>
      </c>
      <c r="F364" s="689"/>
      <c r="G364" s="689">
        <v>35.97</v>
      </c>
      <c r="H364" s="690">
        <v>1.0569999999999999</v>
      </c>
      <c r="I364" s="691">
        <f t="shared" si="51"/>
        <v>0</v>
      </c>
      <c r="J364" s="692">
        <f t="shared" si="52"/>
        <v>0</v>
      </c>
      <c r="K364" s="692">
        <v>0</v>
      </c>
      <c r="L364" s="692">
        <f t="shared" si="53"/>
        <v>0</v>
      </c>
      <c r="M364" s="693">
        <v>1.3943700000000001</v>
      </c>
      <c r="N364" s="693">
        <v>1.21916</v>
      </c>
      <c r="O364" s="691">
        <f t="shared" si="61"/>
        <v>0</v>
      </c>
      <c r="P364" s="688" t="s">
        <v>2114</v>
      </c>
      <c r="Q364" s="694">
        <v>5000</v>
      </c>
      <c r="R364" s="688" t="s">
        <v>886</v>
      </c>
      <c r="S364" s="688" t="e">
        <f>+#REF!</f>
        <v>#REF!</v>
      </c>
      <c r="T364" s="688" t="s">
        <v>2115</v>
      </c>
      <c r="U364" s="694">
        <v>5000</v>
      </c>
      <c r="V364" s="688" t="s">
        <v>886</v>
      </c>
      <c r="W364" s="695">
        <v>34639</v>
      </c>
      <c r="X364" s="696" t="s">
        <v>1691</v>
      </c>
      <c r="Y364" s="688" t="s">
        <v>2116</v>
      </c>
      <c r="Z364" s="688" t="s">
        <v>2117</v>
      </c>
      <c r="AA364" s="688" t="s">
        <v>891</v>
      </c>
      <c r="AB364" s="688" t="s">
        <v>891</v>
      </c>
      <c r="AC364" s="688"/>
      <c r="AD364" s="688"/>
      <c r="AE364" s="689">
        <v>6576010.2800000003</v>
      </c>
      <c r="AF364" s="693">
        <v>4.2511210000000004</v>
      </c>
      <c r="AG364" s="688" t="s">
        <v>891</v>
      </c>
      <c r="AH364" s="693">
        <v>1.0064759999999999</v>
      </c>
      <c r="AI364" s="697" t="s">
        <v>1691</v>
      </c>
      <c r="AJ364" s="698" t="s">
        <v>2118</v>
      </c>
      <c r="AK364" s="699">
        <f t="shared" si="62"/>
        <v>35970</v>
      </c>
      <c r="AL364" s="685" t="s">
        <v>159</v>
      </c>
      <c r="AM364" s="699">
        <v>2500</v>
      </c>
      <c r="AN364" s="699">
        <v>1000</v>
      </c>
    </row>
    <row r="365" spans="1:40" x14ac:dyDescent="0.3">
      <c r="B365" s="686"/>
      <c r="C365" s="687">
        <v>364</v>
      </c>
      <c r="D365" s="688"/>
      <c r="E365" s="688"/>
      <c r="F365" s="689"/>
      <c r="G365" s="689">
        <v>67.44</v>
      </c>
      <c r="H365" s="690"/>
      <c r="I365" s="691"/>
      <c r="J365" s="692"/>
      <c r="K365" s="692"/>
      <c r="L365" s="692"/>
      <c r="M365" s="693"/>
      <c r="N365" s="693"/>
      <c r="O365" s="691"/>
      <c r="P365" s="688" t="s">
        <v>2119</v>
      </c>
      <c r="Q365" s="694"/>
      <c r="R365" s="688"/>
      <c r="S365" s="688" t="e">
        <f>+#REF!</f>
        <v>#REF!</v>
      </c>
      <c r="T365" s="688"/>
      <c r="U365" s="694"/>
      <c r="V365" s="688"/>
      <c r="W365" s="695"/>
      <c r="X365" s="696"/>
      <c r="Y365" s="688"/>
      <c r="Z365" s="688"/>
      <c r="AA365" s="688"/>
      <c r="AB365" s="688"/>
      <c r="AC365" s="688"/>
      <c r="AD365" s="688"/>
      <c r="AE365" s="689"/>
      <c r="AF365" s="693"/>
      <c r="AG365" s="688"/>
      <c r="AH365" s="693"/>
      <c r="AI365" s="697">
        <v>1988</v>
      </c>
      <c r="AJ365" s="698" t="s">
        <v>2120</v>
      </c>
      <c r="AK365" s="699">
        <f t="shared" si="62"/>
        <v>67440</v>
      </c>
      <c r="AL365" s="685" t="s">
        <v>159</v>
      </c>
      <c r="AM365" s="699">
        <v>2500</v>
      </c>
      <c r="AN365" s="699">
        <v>1000</v>
      </c>
    </row>
    <row r="366" spans="1:40" x14ac:dyDescent="0.3">
      <c r="A366" s="669" t="s">
        <v>2121</v>
      </c>
      <c r="B366" s="686" t="e">
        <f>+B364+1</f>
        <v>#REF!</v>
      </c>
      <c r="C366" s="687">
        <v>365</v>
      </c>
      <c r="D366" s="688">
        <v>100</v>
      </c>
      <c r="E366" s="688">
        <v>276</v>
      </c>
      <c r="F366" s="689"/>
      <c r="G366" s="689">
        <v>64.81</v>
      </c>
      <c r="H366" s="690">
        <v>1</v>
      </c>
      <c r="I366" s="691">
        <f t="shared" si="51"/>
        <v>0</v>
      </c>
      <c r="J366" s="692">
        <f t="shared" si="52"/>
        <v>0</v>
      </c>
      <c r="K366" s="692"/>
      <c r="L366" s="692">
        <f t="shared" si="53"/>
        <v>0</v>
      </c>
      <c r="M366" s="693">
        <v>3.81</v>
      </c>
      <c r="N366" s="693">
        <v>0</v>
      </c>
      <c r="O366" s="691">
        <f t="shared" si="61"/>
        <v>0</v>
      </c>
      <c r="P366" s="688" t="s">
        <v>2122</v>
      </c>
      <c r="Q366" s="694">
        <v>5000</v>
      </c>
      <c r="R366" s="688" t="s">
        <v>886</v>
      </c>
      <c r="S366" s="688" t="e">
        <f>+#REF!</f>
        <v>#REF!</v>
      </c>
      <c r="T366" s="688" t="s">
        <v>2122</v>
      </c>
      <c r="U366" s="694">
        <v>5000</v>
      </c>
      <c r="V366" s="688" t="s">
        <v>886</v>
      </c>
      <c r="W366" s="695">
        <v>34335</v>
      </c>
      <c r="X366" s="696" t="s">
        <v>1691</v>
      </c>
      <c r="Y366" s="688" t="s">
        <v>2123</v>
      </c>
      <c r="Z366" s="688" t="s">
        <v>2124</v>
      </c>
      <c r="AA366" s="688" t="s">
        <v>891</v>
      </c>
      <c r="AB366" s="688" t="s">
        <v>891</v>
      </c>
      <c r="AC366" s="688"/>
      <c r="AD366" s="688"/>
      <c r="AE366" s="689">
        <v>11117655.17</v>
      </c>
      <c r="AF366" s="693">
        <v>5.99</v>
      </c>
      <c r="AG366" s="688" t="s">
        <v>891</v>
      </c>
      <c r="AH366" s="693">
        <v>1.701586</v>
      </c>
      <c r="AI366" s="697" t="s">
        <v>1691</v>
      </c>
      <c r="AJ366" s="698" t="s">
        <v>2125</v>
      </c>
      <c r="AK366" s="699">
        <f t="shared" si="62"/>
        <v>64810</v>
      </c>
      <c r="AL366" s="685" t="s">
        <v>159</v>
      </c>
      <c r="AM366" s="699">
        <v>2500</v>
      </c>
      <c r="AN366" s="699">
        <v>1000</v>
      </c>
    </row>
    <row r="367" spans="1:40" x14ac:dyDescent="0.3">
      <c r="A367" s="669" t="s">
        <v>2126</v>
      </c>
      <c r="B367" s="686" t="e">
        <f>+#REF!+1</f>
        <v>#REF!</v>
      </c>
      <c r="C367" s="687">
        <v>366</v>
      </c>
      <c r="D367" s="688">
        <v>100</v>
      </c>
      <c r="E367" s="688">
        <v>271</v>
      </c>
      <c r="F367" s="689"/>
      <c r="G367" s="689">
        <v>37.26</v>
      </c>
      <c r="H367" s="690">
        <v>1.0569999999999999</v>
      </c>
      <c r="I367" s="691">
        <f t="shared" si="51"/>
        <v>0</v>
      </c>
      <c r="J367" s="692">
        <f t="shared" si="52"/>
        <v>0</v>
      </c>
      <c r="K367" s="692">
        <v>0</v>
      </c>
      <c r="L367" s="692">
        <f t="shared" si="53"/>
        <v>0</v>
      </c>
      <c r="M367" s="693">
        <v>3.81</v>
      </c>
      <c r="N367" s="693">
        <v>0</v>
      </c>
      <c r="O367" s="691">
        <f t="shared" si="61"/>
        <v>0</v>
      </c>
      <c r="P367" s="688" t="s">
        <v>2127</v>
      </c>
      <c r="Q367" s="694">
        <v>5000</v>
      </c>
      <c r="R367" s="688" t="s">
        <v>886</v>
      </c>
      <c r="S367" s="688" t="e">
        <f>+#REF!</f>
        <v>#REF!</v>
      </c>
      <c r="T367" s="688" t="s">
        <v>2127</v>
      </c>
      <c r="U367" s="694">
        <v>5000</v>
      </c>
      <c r="V367" s="688" t="s">
        <v>886</v>
      </c>
      <c r="W367" s="695">
        <v>37496</v>
      </c>
      <c r="X367" s="696" t="s">
        <v>2102</v>
      </c>
      <c r="Y367" s="688" t="s">
        <v>2128</v>
      </c>
      <c r="Z367" s="688" t="s">
        <v>2129</v>
      </c>
      <c r="AA367" s="688" t="s">
        <v>891</v>
      </c>
      <c r="AB367" s="688" t="s">
        <v>891</v>
      </c>
      <c r="AC367" s="688"/>
      <c r="AD367" s="688"/>
      <c r="AE367" s="689">
        <v>6633599.1500000004</v>
      </c>
      <c r="AF367" s="693">
        <v>3.52</v>
      </c>
      <c r="AG367" s="688" t="s">
        <v>891</v>
      </c>
      <c r="AH367" s="693">
        <v>3.52</v>
      </c>
      <c r="AI367" s="697" t="s">
        <v>2102</v>
      </c>
      <c r="AJ367" s="698" t="s">
        <v>2130</v>
      </c>
      <c r="AK367" s="699">
        <f t="shared" si="62"/>
        <v>37260</v>
      </c>
      <c r="AL367" s="685" t="s">
        <v>159</v>
      </c>
      <c r="AM367" s="699">
        <v>2500</v>
      </c>
      <c r="AN367" s="699">
        <v>1000</v>
      </c>
    </row>
    <row r="368" spans="1:40" x14ac:dyDescent="0.3">
      <c r="A368" s="669" t="s">
        <v>2131</v>
      </c>
      <c r="B368" s="686" t="e">
        <f>+B367+1</f>
        <v>#REF!</v>
      </c>
      <c r="C368" s="687">
        <v>367</v>
      </c>
      <c r="D368" s="688">
        <v>100</v>
      </c>
      <c r="E368" s="688">
        <v>268</v>
      </c>
      <c r="F368" s="689"/>
      <c r="G368" s="689">
        <v>47.59</v>
      </c>
      <c r="H368" s="690">
        <v>1.024</v>
      </c>
      <c r="I368" s="691">
        <f t="shared" si="51"/>
        <v>0</v>
      </c>
      <c r="J368" s="692">
        <f t="shared" si="52"/>
        <v>0</v>
      </c>
      <c r="K368" s="692">
        <v>0</v>
      </c>
      <c r="L368" s="692">
        <f t="shared" si="53"/>
        <v>0</v>
      </c>
      <c r="M368" s="693">
        <v>3.81</v>
      </c>
      <c r="N368" s="693">
        <v>0</v>
      </c>
      <c r="O368" s="691">
        <f t="shared" si="61"/>
        <v>0</v>
      </c>
      <c r="P368" s="688" t="s">
        <v>2132</v>
      </c>
      <c r="Q368" s="694">
        <v>5000</v>
      </c>
      <c r="R368" s="688" t="s">
        <v>886</v>
      </c>
      <c r="S368" s="688" t="e">
        <f>+#REF!</f>
        <v>#REF!</v>
      </c>
      <c r="T368" s="688" t="s">
        <v>2132</v>
      </c>
      <c r="U368" s="694">
        <v>5000</v>
      </c>
      <c r="V368" s="688" t="s">
        <v>886</v>
      </c>
      <c r="W368" s="695">
        <v>34501</v>
      </c>
      <c r="X368" s="696" t="s">
        <v>756</v>
      </c>
      <c r="Y368" s="688" t="s">
        <v>2133</v>
      </c>
      <c r="Z368" s="688" t="s">
        <v>2134</v>
      </c>
      <c r="AA368" s="688" t="s">
        <v>891</v>
      </c>
      <c r="AB368" s="688" t="s">
        <v>891</v>
      </c>
      <c r="AC368" s="688"/>
      <c r="AD368" s="688"/>
      <c r="AE368" s="689">
        <v>8117317.8399999999</v>
      </c>
      <c r="AF368" s="693">
        <v>5.24</v>
      </c>
      <c r="AG368" s="688" t="s">
        <v>891</v>
      </c>
      <c r="AH368" s="693">
        <v>1.64</v>
      </c>
      <c r="AI368" s="697" t="s">
        <v>756</v>
      </c>
      <c r="AJ368" s="698" t="s">
        <v>2135</v>
      </c>
      <c r="AK368" s="699">
        <f t="shared" si="62"/>
        <v>47590</v>
      </c>
      <c r="AL368" s="685" t="s">
        <v>159</v>
      </c>
      <c r="AM368" s="699">
        <v>2500</v>
      </c>
      <c r="AN368" s="699">
        <v>1000</v>
      </c>
    </row>
    <row r="369" spans="1:41" x14ac:dyDescent="0.3">
      <c r="A369" s="669" t="s">
        <v>2136</v>
      </c>
      <c r="B369" s="686" t="e">
        <f>+#REF!+1</f>
        <v>#REF!</v>
      </c>
      <c r="C369" s="687">
        <f>+C368+1</f>
        <v>368</v>
      </c>
      <c r="D369" s="688">
        <v>100</v>
      </c>
      <c r="E369" s="688">
        <v>278</v>
      </c>
      <c r="F369" s="689"/>
      <c r="G369" s="689">
        <v>83.51</v>
      </c>
      <c r="H369" s="690">
        <v>0.96599999999999997</v>
      </c>
      <c r="I369" s="691">
        <f t="shared" si="51"/>
        <v>0</v>
      </c>
      <c r="J369" s="692">
        <f t="shared" si="52"/>
        <v>0</v>
      </c>
      <c r="K369" s="692">
        <v>0</v>
      </c>
      <c r="L369" s="692">
        <f t="shared" si="53"/>
        <v>0</v>
      </c>
      <c r="M369" s="693">
        <v>3.81</v>
      </c>
      <c r="N369" s="693"/>
      <c r="O369" s="691">
        <f t="shared" si="61"/>
        <v>0</v>
      </c>
      <c r="P369" s="688" t="s">
        <v>2132</v>
      </c>
      <c r="Q369" s="694">
        <v>5000</v>
      </c>
      <c r="R369" s="688" t="s">
        <v>886</v>
      </c>
      <c r="S369" s="688" t="e">
        <f>+#REF!</f>
        <v>#REF!</v>
      </c>
      <c r="T369" s="688" t="s">
        <v>2132</v>
      </c>
      <c r="U369" s="694">
        <v>5000</v>
      </c>
      <c r="V369" s="688" t="s">
        <v>886</v>
      </c>
      <c r="W369" s="695">
        <v>34501</v>
      </c>
      <c r="X369" s="696" t="s">
        <v>756</v>
      </c>
      <c r="Y369" s="688" t="s">
        <v>2137</v>
      </c>
      <c r="Z369" s="688" t="s">
        <v>2138</v>
      </c>
      <c r="AA369" s="688" t="s">
        <v>891</v>
      </c>
      <c r="AB369" s="688" t="s">
        <v>891</v>
      </c>
      <c r="AC369" s="688"/>
      <c r="AD369" s="688"/>
      <c r="AE369" s="689">
        <v>13938707.42</v>
      </c>
      <c r="AF369" s="693">
        <v>9.01</v>
      </c>
      <c r="AG369" s="688" t="s">
        <v>891</v>
      </c>
      <c r="AH369" s="693">
        <v>2.82</v>
      </c>
      <c r="AI369" s="697" t="s">
        <v>756</v>
      </c>
      <c r="AJ369" s="698" t="s">
        <v>2139</v>
      </c>
      <c r="AK369" s="699">
        <f t="shared" si="62"/>
        <v>83510</v>
      </c>
      <c r="AL369" s="685" t="s">
        <v>159</v>
      </c>
      <c r="AM369" s="699">
        <v>2500</v>
      </c>
      <c r="AN369" s="699">
        <v>1000</v>
      </c>
    </row>
    <row r="370" spans="1:41" x14ac:dyDescent="0.3">
      <c r="A370" s="669" t="s">
        <v>2140</v>
      </c>
      <c r="B370" s="686" t="e">
        <f>+B369+1</f>
        <v>#REF!</v>
      </c>
      <c r="C370" s="687">
        <f>+C369+1</f>
        <v>369</v>
      </c>
      <c r="D370" s="688">
        <v>100</v>
      </c>
      <c r="E370" s="688">
        <v>330</v>
      </c>
      <c r="F370" s="689"/>
      <c r="G370" s="689">
        <v>53.93</v>
      </c>
      <c r="H370" s="690">
        <v>1.006</v>
      </c>
      <c r="I370" s="691">
        <f t="shared" si="51"/>
        <v>0</v>
      </c>
      <c r="J370" s="692">
        <f t="shared" si="52"/>
        <v>0</v>
      </c>
      <c r="K370" s="692">
        <v>0</v>
      </c>
      <c r="L370" s="692">
        <f t="shared" si="53"/>
        <v>0</v>
      </c>
      <c r="M370" s="693">
        <v>5.08</v>
      </c>
      <c r="N370" s="693">
        <v>0</v>
      </c>
      <c r="O370" s="691">
        <f t="shared" si="61"/>
        <v>0</v>
      </c>
      <c r="P370" s="688" t="s">
        <v>2141</v>
      </c>
      <c r="Q370" s="694">
        <v>5000</v>
      </c>
      <c r="R370" s="688" t="s">
        <v>886</v>
      </c>
      <c r="S370" s="688" t="e">
        <f>+#REF!</f>
        <v>#REF!</v>
      </c>
      <c r="T370" s="688" t="s">
        <v>2142</v>
      </c>
      <c r="U370" s="694">
        <v>5000</v>
      </c>
      <c r="V370" s="688" t="s">
        <v>886</v>
      </c>
      <c r="W370" s="695">
        <v>36960</v>
      </c>
      <c r="X370" s="696" t="s">
        <v>2143</v>
      </c>
      <c r="Y370" s="688" t="s">
        <v>2144</v>
      </c>
      <c r="Z370" s="688" t="s">
        <v>2145</v>
      </c>
      <c r="AA370" s="688" t="s">
        <v>891</v>
      </c>
      <c r="AB370" s="688" t="s">
        <v>891</v>
      </c>
      <c r="AC370" s="688"/>
      <c r="AD370" s="688"/>
      <c r="AE370" s="689">
        <v>9786494.1600000001</v>
      </c>
      <c r="AF370" s="693">
        <v>5.7615020000000001</v>
      </c>
      <c r="AG370" s="688" t="s">
        <v>891</v>
      </c>
      <c r="AH370" s="693">
        <v>2.1393469999999999</v>
      </c>
      <c r="AI370" s="697" t="s">
        <v>2143</v>
      </c>
      <c r="AJ370" s="698" t="s">
        <v>2146</v>
      </c>
      <c r="AK370" s="699">
        <f>G370*1100</f>
        <v>59323</v>
      </c>
      <c r="AL370" s="685" t="s">
        <v>159</v>
      </c>
      <c r="AM370" s="699">
        <v>2500</v>
      </c>
      <c r="AN370" s="699">
        <v>1000</v>
      </c>
    </row>
    <row r="371" spans="1:41" x14ac:dyDescent="0.3">
      <c r="A371" s="669" t="s">
        <v>2147</v>
      </c>
      <c r="B371" s="686" t="e">
        <f>+B370+1</f>
        <v>#REF!</v>
      </c>
      <c r="C371" s="687">
        <f>+C370+1</f>
        <v>370</v>
      </c>
      <c r="D371" s="688">
        <v>100</v>
      </c>
      <c r="E371" s="688">
        <v>330</v>
      </c>
      <c r="F371" s="689"/>
      <c r="G371" s="689">
        <v>40.08</v>
      </c>
      <c r="H371" s="690">
        <v>1.0569999999999999</v>
      </c>
      <c r="I371" s="691">
        <f t="shared" si="51"/>
        <v>0</v>
      </c>
      <c r="J371" s="692">
        <f t="shared" si="52"/>
        <v>0</v>
      </c>
      <c r="K371" s="692">
        <v>0</v>
      </c>
      <c r="L371" s="692">
        <f t="shared" si="53"/>
        <v>0</v>
      </c>
      <c r="M371" s="693">
        <v>5.08</v>
      </c>
      <c r="N371" s="693">
        <v>0</v>
      </c>
      <c r="O371" s="691">
        <f t="shared" si="61"/>
        <v>0</v>
      </c>
      <c r="P371" s="688" t="s">
        <v>2148</v>
      </c>
      <c r="Q371" s="694">
        <v>5000</v>
      </c>
      <c r="R371" s="688" t="s">
        <v>886</v>
      </c>
      <c r="S371" s="688" t="e">
        <f>+#REF!</f>
        <v>#REF!</v>
      </c>
      <c r="T371" s="688" t="s">
        <v>2149</v>
      </c>
      <c r="U371" s="694">
        <v>5000</v>
      </c>
      <c r="V371" s="688" t="s">
        <v>886</v>
      </c>
      <c r="W371" s="695">
        <v>36960</v>
      </c>
      <c r="X371" s="696" t="s">
        <v>2143</v>
      </c>
      <c r="Y371" s="688" t="s">
        <v>2150</v>
      </c>
      <c r="Z371" s="688" t="s">
        <v>2151</v>
      </c>
      <c r="AA371" s="688" t="s">
        <v>891</v>
      </c>
      <c r="AB371" s="688" t="s">
        <v>891</v>
      </c>
      <c r="AC371" s="688"/>
      <c r="AD371" s="688"/>
      <c r="AE371" s="689">
        <v>8689178.8399999999</v>
      </c>
      <c r="AF371" s="693">
        <v>5.1154909999999996</v>
      </c>
      <c r="AG371" s="688" t="s">
        <v>891</v>
      </c>
      <c r="AH371" s="693">
        <v>1.899472</v>
      </c>
      <c r="AI371" s="697" t="s">
        <v>2143</v>
      </c>
      <c r="AJ371" s="698" t="s">
        <v>2152</v>
      </c>
      <c r="AK371" s="699">
        <f>G371*1100</f>
        <v>44088</v>
      </c>
      <c r="AL371" s="685" t="s">
        <v>159</v>
      </c>
      <c r="AM371" s="699">
        <v>2500</v>
      </c>
      <c r="AN371" s="699">
        <v>1000</v>
      </c>
    </row>
    <row r="372" spans="1:41" x14ac:dyDescent="0.3">
      <c r="A372" s="669" t="s">
        <v>2153</v>
      </c>
      <c r="B372" s="686" t="e">
        <f>+B371+1</f>
        <v>#REF!</v>
      </c>
      <c r="C372" s="687">
        <f>+C371+1</f>
        <v>371</v>
      </c>
      <c r="D372" s="688">
        <v>100</v>
      </c>
      <c r="E372" s="688">
        <v>330</v>
      </c>
      <c r="F372" s="689"/>
      <c r="G372" s="689">
        <v>39.08</v>
      </c>
      <c r="H372" s="690">
        <v>1.0569999999999999</v>
      </c>
      <c r="I372" s="691">
        <f t="shared" si="51"/>
        <v>0</v>
      </c>
      <c r="J372" s="692">
        <f t="shared" si="52"/>
        <v>0</v>
      </c>
      <c r="K372" s="692">
        <v>11381</v>
      </c>
      <c r="L372" s="692">
        <f t="shared" si="53"/>
        <v>-11381</v>
      </c>
      <c r="M372" s="693">
        <v>1.91</v>
      </c>
      <c r="N372" s="693">
        <v>1.67</v>
      </c>
      <c r="O372" s="691">
        <f t="shared" si="61"/>
        <v>0</v>
      </c>
      <c r="P372" s="688" t="s">
        <v>2154</v>
      </c>
      <c r="Q372" s="694">
        <v>5000</v>
      </c>
      <c r="R372" s="688" t="s">
        <v>886</v>
      </c>
      <c r="S372" s="688" t="e">
        <f>+#REF!</f>
        <v>#REF!</v>
      </c>
      <c r="T372" s="688" t="s">
        <v>2155</v>
      </c>
      <c r="U372" s="694">
        <v>5000</v>
      </c>
      <c r="V372" s="688" t="s">
        <v>886</v>
      </c>
      <c r="W372" s="695">
        <v>36934</v>
      </c>
      <c r="X372" s="696" t="s">
        <v>2143</v>
      </c>
      <c r="Y372" s="688" t="s">
        <v>2156</v>
      </c>
      <c r="Z372" s="688" t="s">
        <v>2157</v>
      </c>
      <c r="AA372" s="688" t="s">
        <v>891</v>
      </c>
      <c r="AB372" s="688" t="s">
        <v>891</v>
      </c>
      <c r="AC372" s="688" t="s">
        <v>1074</v>
      </c>
      <c r="AD372" s="688" t="s">
        <v>2158</v>
      </c>
      <c r="AE372" s="689">
        <v>8472382.9600000009</v>
      </c>
      <c r="AF372" s="693">
        <v>3.6601520000000001</v>
      </c>
      <c r="AG372" s="688" t="s">
        <v>891</v>
      </c>
      <c r="AH372" s="693">
        <v>1.8520799999999999</v>
      </c>
      <c r="AI372" s="697" t="s">
        <v>2143</v>
      </c>
      <c r="AJ372" s="698" t="s">
        <v>2159</v>
      </c>
      <c r="AK372" s="699">
        <f>G372*1100</f>
        <v>42988</v>
      </c>
      <c r="AL372" s="685" t="s">
        <v>159</v>
      </c>
      <c r="AM372" s="699">
        <v>2500</v>
      </c>
      <c r="AN372" s="699">
        <v>1000</v>
      </c>
    </row>
    <row r="373" spans="1:41" x14ac:dyDescent="0.3">
      <c r="B373" s="733"/>
      <c r="C373" s="734"/>
      <c r="E373" s="734"/>
      <c r="L373" s="736">
        <v>0</v>
      </c>
      <c r="AI373" s="742" t="s">
        <v>2160</v>
      </c>
      <c r="AK373" s="699"/>
    </row>
    <row r="374" spans="1:41" x14ac:dyDescent="0.3">
      <c r="B374" s="734"/>
      <c r="C374" s="734"/>
      <c r="D374" s="734"/>
      <c r="E374" s="734"/>
      <c r="F374" s="734"/>
      <c r="G374" s="734"/>
      <c r="H374" s="734"/>
      <c r="I374" s="734"/>
      <c r="J374" s="734"/>
      <c r="K374" s="734"/>
      <c r="L374" s="734">
        <v>0</v>
      </c>
      <c r="M374" s="734"/>
      <c r="N374" s="734"/>
      <c r="O374" s="734"/>
    </row>
    <row r="375" spans="1:41" x14ac:dyDescent="0.3">
      <c r="B375" s="734"/>
      <c r="C375" s="734"/>
      <c r="D375" s="734"/>
      <c r="E375" s="734"/>
      <c r="F375" s="734"/>
      <c r="G375" s="734"/>
      <c r="H375" s="734"/>
      <c r="I375" s="734">
        <f>SUM(I2:I374)</f>
        <v>0</v>
      </c>
      <c r="J375" s="734">
        <f>SUM(J2:J374)</f>
        <v>0</v>
      </c>
      <c r="K375" s="734">
        <f>SUM(K2:K374)</f>
        <v>102986</v>
      </c>
      <c r="L375" s="734">
        <f>SUM(L2:L374)</f>
        <v>-102986</v>
      </c>
      <c r="M375" s="734"/>
      <c r="N375" s="734"/>
      <c r="O375" s="734" t="e">
        <f>SUM(O2:O374)</f>
        <v>#REF!</v>
      </c>
      <c r="P375" s="743" t="s">
        <v>2161</v>
      </c>
    </row>
    <row r="376" spans="1:41" ht="24" x14ac:dyDescent="0.3">
      <c r="B376" s="734"/>
      <c r="C376" s="744"/>
      <c r="D376" s="744"/>
      <c r="E376" s="744"/>
      <c r="F376" s="744"/>
      <c r="G376" s="745">
        <v>24.91</v>
      </c>
      <c r="H376" s="744"/>
      <c r="I376" s="744"/>
      <c r="J376" s="744"/>
      <c r="K376" s="744"/>
      <c r="L376" s="744"/>
      <c r="M376" s="744"/>
      <c r="N376" s="744"/>
      <c r="O376" s="744"/>
      <c r="P376" s="746" t="s">
        <v>2162</v>
      </c>
      <c r="Q376" s="747"/>
      <c r="R376" s="748"/>
      <c r="S376" s="748"/>
      <c r="T376" s="748"/>
      <c r="U376" s="748"/>
      <c r="V376" s="748"/>
      <c r="W376" s="749"/>
      <c r="X376" s="750"/>
      <c r="Y376" s="748"/>
      <c r="Z376" s="748"/>
      <c r="AA376" s="748"/>
      <c r="AB376" s="748"/>
      <c r="AC376" s="748"/>
      <c r="AD376" s="748"/>
      <c r="AE376" s="751"/>
      <c r="AF376" s="752"/>
      <c r="AG376" s="748"/>
      <c r="AH376" s="752"/>
      <c r="AI376" s="750">
        <v>2017</v>
      </c>
      <c r="AJ376" s="753"/>
      <c r="AK376" s="754">
        <v>7473</v>
      </c>
      <c r="AL376" s="749" t="s">
        <v>159</v>
      </c>
      <c r="AM376" s="749"/>
      <c r="AN376" s="749"/>
      <c r="AO376" s="749"/>
    </row>
    <row r="377" spans="1:41" ht="24" x14ac:dyDescent="0.3">
      <c r="B377" s="734"/>
      <c r="C377" s="744"/>
      <c r="D377" s="744"/>
      <c r="E377" s="744"/>
      <c r="F377" s="744"/>
      <c r="G377" s="745">
        <v>18.55</v>
      </c>
      <c r="H377" s="744"/>
      <c r="I377" s="744"/>
      <c r="J377" s="744"/>
      <c r="K377" s="744"/>
      <c r="L377" s="744"/>
      <c r="M377" s="744"/>
      <c r="N377" s="744"/>
      <c r="O377" s="744" t="e">
        <f>+K375+L375+O375</f>
        <v>#REF!</v>
      </c>
      <c r="P377" s="746" t="s">
        <v>2163</v>
      </c>
      <c r="Q377" s="747"/>
      <c r="R377" s="748"/>
      <c r="S377" s="748"/>
      <c r="T377" s="748"/>
      <c r="U377" s="748"/>
      <c r="V377" s="748"/>
      <c r="W377" s="749"/>
      <c r="X377" s="750"/>
      <c r="Y377" s="748"/>
      <c r="Z377" s="748"/>
      <c r="AA377" s="748"/>
      <c r="AB377" s="748"/>
      <c r="AC377" s="748"/>
      <c r="AD377" s="748"/>
      <c r="AE377" s="751"/>
      <c r="AF377" s="752"/>
      <c r="AG377" s="748"/>
      <c r="AH377" s="752"/>
      <c r="AI377" s="750">
        <v>2015</v>
      </c>
      <c r="AJ377" s="753"/>
      <c r="AK377" s="754">
        <v>10203</v>
      </c>
      <c r="AL377" s="749" t="s">
        <v>159</v>
      </c>
      <c r="AM377" s="749"/>
      <c r="AN377" s="749"/>
      <c r="AO377" s="749"/>
    </row>
    <row r="378" spans="1:41" ht="24" x14ac:dyDescent="0.3">
      <c r="B378" s="734"/>
      <c r="C378" s="734"/>
      <c r="D378" s="734"/>
      <c r="E378" s="734"/>
      <c r="F378" s="734"/>
      <c r="G378" s="745">
        <v>35</v>
      </c>
      <c r="H378" s="744"/>
      <c r="I378" s="744"/>
      <c r="J378" s="744"/>
      <c r="K378" s="744"/>
      <c r="L378" s="744"/>
      <c r="M378" s="744"/>
      <c r="N378" s="744"/>
      <c r="O378" s="744"/>
      <c r="P378" s="746" t="s">
        <v>2164</v>
      </c>
      <c r="Q378" s="747"/>
      <c r="R378" s="748"/>
      <c r="S378" s="748"/>
      <c r="T378" s="748"/>
      <c r="U378" s="748"/>
      <c r="V378" s="748"/>
      <c r="W378" s="749"/>
      <c r="X378" s="750"/>
      <c r="Y378" s="748"/>
      <c r="Z378" s="748"/>
      <c r="AA378" s="748"/>
      <c r="AB378" s="748"/>
      <c r="AC378" s="748"/>
      <c r="AD378" s="748"/>
      <c r="AE378" s="751"/>
      <c r="AF378" s="752"/>
      <c r="AG378" s="748"/>
      <c r="AH378" s="752"/>
      <c r="AI378" s="750">
        <v>1965</v>
      </c>
      <c r="AJ378" s="753"/>
      <c r="AK378" s="754">
        <v>17500</v>
      </c>
      <c r="AL378" s="749" t="s">
        <v>160</v>
      </c>
      <c r="AM378" s="749"/>
      <c r="AN378" s="749"/>
      <c r="AO378" s="749"/>
    </row>
    <row r="379" spans="1:41" ht="24" x14ac:dyDescent="0.3">
      <c r="B379" s="734"/>
      <c r="C379" s="734"/>
      <c r="D379" s="734"/>
      <c r="E379" s="734"/>
      <c r="F379" s="734"/>
      <c r="G379" s="745">
        <v>26.45</v>
      </c>
      <c r="H379" s="744"/>
      <c r="I379" s="744"/>
      <c r="J379" s="744"/>
      <c r="K379" s="744"/>
      <c r="L379" s="744"/>
      <c r="M379" s="744"/>
      <c r="N379" s="744"/>
      <c r="O379" s="755"/>
      <c r="P379" s="746" t="s">
        <v>2165</v>
      </c>
      <c r="Q379" s="747"/>
      <c r="R379" s="748"/>
      <c r="S379" s="748"/>
      <c r="T379" s="748"/>
      <c r="U379" s="748"/>
      <c r="V379" s="748"/>
      <c r="W379" s="749"/>
      <c r="X379" s="750"/>
      <c r="Y379" s="748"/>
      <c r="Z379" s="748"/>
      <c r="AA379" s="748"/>
      <c r="AB379" s="748"/>
      <c r="AC379" s="748"/>
      <c r="AD379" s="748"/>
      <c r="AE379" s="751"/>
      <c r="AF379" s="752"/>
      <c r="AG379" s="748"/>
      <c r="AH379" s="752"/>
      <c r="AI379" s="750">
        <v>1991</v>
      </c>
      <c r="AJ379" s="753"/>
      <c r="AK379" s="754">
        <v>7274</v>
      </c>
      <c r="AL379" s="749" t="s">
        <v>159</v>
      </c>
      <c r="AM379" s="749"/>
      <c r="AN379" s="749"/>
      <c r="AO379" s="749"/>
    </row>
    <row r="380" spans="1:41" x14ac:dyDescent="0.3">
      <c r="B380" s="734"/>
      <c r="C380" s="734"/>
      <c r="D380" s="734"/>
      <c r="E380" s="734"/>
      <c r="F380" s="734"/>
      <c r="G380" s="734"/>
      <c r="H380" s="734"/>
      <c r="I380" s="734"/>
      <c r="J380" s="734"/>
      <c r="K380" s="734"/>
      <c r="L380" s="734"/>
      <c r="M380" s="734"/>
      <c r="N380" s="734"/>
      <c r="O380" s="734"/>
      <c r="P380" s="756"/>
      <c r="AK380" s="699"/>
    </row>
    <row r="381" spans="1:41" x14ac:dyDescent="0.3">
      <c r="B381" s="734"/>
      <c r="C381" s="734"/>
      <c r="D381" s="734"/>
      <c r="E381" s="734"/>
      <c r="F381" s="734"/>
      <c r="G381" s="734"/>
      <c r="H381" s="734"/>
      <c r="I381" s="734"/>
      <c r="J381" s="734"/>
      <c r="K381" s="734"/>
      <c r="L381" s="734"/>
      <c r="M381" s="734"/>
      <c r="N381" s="734"/>
      <c r="O381" s="734"/>
    </row>
    <row r="382" spans="1:41" x14ac:dyDescent="0.3">
      <c r="B382" s="734"/>
      <c r="C382" s="734"/>
      <c r="D382" s="734"/>
      <c r="E382" s="734"/>
      <c r="F382" s="734"/>
      <c r="G382" s="734"/>
      <c r="H382" s="734"/>
      <c r="I382" s="757">
        <v>2141817.98</v>
      </c>
      <c r="J382" s="734"/>
      <c r="K382" s="734"/>
      <c r="L382" s="734"/>
      <c r="M382" s="734"/>
      <c r="N382" s="734"/>
      <c r="O382" s="734"/>
    </row>
    <row r="383" spans="1:41" x14ac:dyDescent="0.3">
      <c r="B383" s="734"/>
      <c r="C383" s="734"/>
      <c r="D383" s="734"/>
      <c r="E383" s="734"/>
      <c r="F383" s="734"/>
      <c r="G383" s="734"/>
      <c r="H383" s="734"/>
      <c r="I383" s="757">
        <v>1.2</v>
      </c>
      <c r="J383" s="734"/>
      <c r="K383" s="734"/>
      <c r="L383" s="734"/>
      <c r="M383" s="734"/>
      <c r="N383" s="734"/>
      <c r="O383" s="734"/>
    </row>
    <row r="384" spans="1:41" x14ac:dyDescent="0.3">
      <c r="B384" s="734"/>
      <c r="C384" s="734"/>
      <c r="D384" s="734"/>
      <c r="E384" s="734"/>
      <c r="F384" s="734"/>
      <c r="G384" s="734"/>
      <c r="H384" s="734"/>
      <c r="I384" s="757">
        <f>+I382/I383</f>
        <v>1784848.3166666667</v>
      </c>
      <c r="J384" s="734"/>
      <c r="K384" s="734"/>
      <c r="L384" s="734"/>
      <c r="M384" s="734"/>
      <c r="N384" s="734"/>
      <c r="O384" s="734"/>
    </row>
    <row r="385" spans="2:15" x14ac:dyDescent="0.3">
      <c r="B385" s="734"/>
      <c r="C385" s="734"/>
      <c r="D385" s="734"/>
      <c r="E385" s="734"/>
      <c r="F385" s="734"/>
      <c r="G385" s="734"/>
      <c r="H385" s="758">
        <v>0.2</v>
      </c>
      <c r="I385" s="758">
        <f>+I384*H385</f>
        <v>356969.66333333333</v>
      </c>
      <c r="K385" s="734"/>
      <c r="L385" s="734"/>
      <c r="M385" s="734"/>
      <c r="N385" s="734"/>
      <c r="O385" s="734"/>
    </row>
    <row r="386" spans="2:15" x14ac:dyDescent="0.3">
      <c r="B386" s="734"/>
      <c r="C386" s="734"/>
      <c r="D386" s="734"/>
      <c r="E386" s="734"/>
      <c r="F386" s="734"/>
      <c r="G386" s="734"/>
      <c r="H386" s="734"/>
      <c r="I386" s="758">
        <f>+I384+I385</f>
        <v>2141817.98</v>
      </c>
      <c r="J386" s="734"/>
      <c r="K386" s="734"/>
      <c r="L386" s="734"/>
      <c r="M386" s="734"/>
      <c r="N386" s="734"/>
      <c r="O386" s="734"/>
    </row>
    <row r="387" spans="2:15" x14ac:dyDescent="0.3">
      <c r="B387" s="734"/>
      <c r="C387" s="734"/>
      <c r="D387" s="734"/>
      <c r="E387" s="734"/>
      <c r="F387" s="734"/>
      <c r="G387" s="734"/>
      <c r="H387" s="734"/>
      <c r="I387" s="758"/>
      <c r="J387" s="734"/>
      <c r="K387" s="734"/>
      <c r="L387" s="734"/>
      <c r="M387" s="734"/>
      <c r="N387" s="734"/>
      <c r="O387" s="734"/>
    </row>
    <row r="388" spans="2:15" x14ac:dyDescent="0.3">
      <c r="B388" s="734"/>
      <c r="C388" s="734"/>
      <c r="D388" s="734"/>
      <c r="E388" s="734"/>
      <c r="F388" s="734"/>
      <c r="G388" s="734"/>
      <c r="H388" s="734"/>
      <c r="I388" s="758">
        <v>242548533.06999999</v>
      </c>
      <c r="J388" s="734"/>
      <c r="K388" s="734"/>
      <c r="L388" s="734"/>
      <c r="M388" s="734"/>
      <c r="N388" s="734"/>
      <c r="O388" s="734"/>
    </row>
    <row r="389" spans="2:15" x14ac:dyDescent="0.3">
      <c r="B389" s="734"/>
      <c r="C389" s="734"/>
      <c r="D389" s="734"/>
      <c r="E389" s="734"/>
      <c r="F389" s="734"/>
      <c r="G389" s="734"/>
      <c r="H389" s="734"/>
      <c r="I389" s="758"/>
      <c r="J389" s="734"/>
      <c r="K389" s="734"/>
      <c r="L389" s="734"/>
      <c r="M389" s="734"/>
      <c r="N389" s="734"/>
      <c r="O389" s="734"/>
    </row>
    <row r="390" spans="2:15" x14ac:dyDescent="0.3">
      <c r="B390" s="734"/>
      <c r="C390" s="734"/>
      <c r="D390" s="734"/>
      <c r="E390" s="734"/>
      <c r="F390" s="734"/>
      <c r="G390" s="734"/>
      <c r="H390" s="734"/>
      <c r="I390" s="758">
        <f>+I386+I388</f>
        <v>244690351.04999998</v>
      </c>
      <c r="J390" s="734"/>
      <c r="K390" s="734"/>
      <c r="L390" s="734"/>
      <c r="M390" s="734"/>
      <c r="N390" s="734"/>
      <c r="O390" s="734"/>
    </row>
    <row r="391" spans="2:15" x14ac:dyDescent="0.3">
      <c r="B391" s="734"/>
      <c r="C391" s="734"/>
      <c r="D391" s="734"/>
      <c r="E391" s="734"/>
      <c r="F391" s="734"/>
      <c r="G391" s="734"/>
      <c r="H391" s="734"/>
      <c r="I391" s="758"/>
      <c r="J391" s="734"/>
      <c r="K391" s="734"/>
      <c r="L391" s="734"/>
      <c r="M391" s="734"/>
      <c r="N391" s="734"/>
      <c r="O391" s="734"/>
    </row>
    <row r="392" spans="2:15" x14ac:dyDescent="0.3">
      <c r="B392" s="734"/>
      <c r="C392" s="734"/>
      <c r="D392" s="734"/>
      <c r="E392" s="734"/>
      <c r="F392" s="734"/>
      <c r="G392" s="734"/>
      <c r="H392" s="734"/>
      <c r="I392" s="758"/>
      <c r="J392" s="734"/>
      <c r="K392" s="734"/>
      <c r="L392" s="734"/>
      <c r="M392" s="734"/>
      <c r="N392" s="734"/>
      <c r="O392" s="734"/>
    </row>
    <row r="393" spans="2:15" x14ac:dyDescent="0.3">
      <c r="B393" s="734"/>
      <c r="C393" s="734"/>
      <c r="D393" s="734"/>
      <c r="E393" s="734"/>
      <c r="F393" s="734"/>
      <c r="G393" s="734"/>
      <c r="H393" s="734"/>
      <c r="I393" s="758"/>
      <c r="J393" s="734"/>
      <c r="K393" s="734"/>
      <c r="L393" s="734"/>
      <c r="M393" s="734"/>
      <c r="N393" s="734"/>
      <c r="O393" s="734"/>
    </row>
    <row r="394" spans="2:15" x14ac:dyDescent="0.3">
      <c r="B394" s="734"/>
      <c r="C394" s="734"/>
      <c r="D394" s="734"/>
      <c r="E394" s="734"/>
      <c r="F394" s="734"/>
      <c r="G394" s="734"/>
      <c r="H394" s="734"/>
      <c r="I394" s="758"/>
      <c r="J394" s="734"/>
      <c r="K394" s="734"/>
      <c r="L394" s="734"/>
      <c r="M394" s="734"/>
      <c r="N394" s="734"/>
      <c r="O394" s="734"/>
    </row>
    <row r="395" spans="2:15" x14ac:dyDescent="0.3">
      <c r="B395" s="734"/>
      <c r="C395" s="734"/>
      <c r="D395" s="734"/>
      <c r="E395" s="734"/>
      <c r="F395" s="734"/>
      <c r="G395" s="734"/>
      <c r="H395" s="734"/>
      <c r="I395" s="758"/>
      <c r="J395" s="734"/>
      <c r="K395" s="734"/>
      <c r="L395" s="734"/>
      <c r="M395" s="734"/>
      <c r="N395" s="734"/>
      <c r="O395" s="734"/>
    </row>
    <row r="396" spans="2:15" x14ac:dyDescent="0.3">
      <c r="B396" s="734"/>
      <c r="C396" s="734"/>
      <c r="D396" s="734"/>
      <c r="E396" s="734"/>
      <c r="F396" s="734"/>
      <c r="G396" s="734"/>
      <c r="H396" s="734"/>
      <c r="I396" s="758"/>
      <c r="J396" s="734"/>
      <c r="K396" s="734"/>
      <c r="L396" s="734"/>
      <c r="M396" s="734"/>
      <c r="N396" s="734"/>
      <c r="O396" s="734"/>
    </row>
    <row r="397" spans="2:15" x14ac:dyDescent="0.3">
      <c r="B397" s="734"/>
      <c r="C397" s="734"/>
      <c r="D397" s="734"/>
      <c r="E397" s="734"/>
      <c r="F397" s="734"/>
      <c r="G397" s="734"/>
      <c r="H397" s="734"/>
      <c r="I397" s="758"/>
      <c r="J397" s="734"/>
      <c r="K397" s="734"/>
      <c r="L397" s="734"/>
      <c r="M397" s="734"/>
      <c r="N397" s="734"/>
      <c r="O397" s="734"/>
    </row>
    <row r="398" spans="2:15" x14ac:dyDescent="0.3">
      <c r="B398" s="734"/>
      <c r="C398" s="734"/>
      <c r="D398" s="734"/>
      <c r="E398" s="734"/>
      <c r="F398" s="734"/>
      <c r="G398" s="734"/>
      <c r="H398" s="734"/>
      <c r="I398" s="734"/>
      <c r="J398" s="734"/>
      <c r="K398" s="734"/>
      <c r="L398" s="734"/>
      <c r="M398" s="734"/>
      <c r="N398" s="734"/>
      <c r="O398" s="734"/>
    </row>
    <row r="399" spans="2:15" x14ac:dyDescent="0.3">
      <c r="B399" s="734"/>
      <c r="C399" s="734"/>
      <c r="D399" s="734"/>
      <c r="E399" s="734"/>
      <c r="F399" s="734"/>
      <c r="G399" s="734"/>
      <c r="H399" s="734"/>
      <c r="I399" s="734"/>
      <c r="J399" s="734"/>
      <c r="K399" s="734"/>
      <c r="L399" s="734"/>
      <c r="M399" s="734"/>
      <c r="N399" s="734"/>
      <c r="O399" s="734"/>
    </row>
    <row r="400" spans="2:15" x14ac:dyDescent="0.3">
      <c r="B400" s="734"/>
      <c r="C400" s="734"/>
      <c r="D400" s="734"/>
      <c r="E400" s="734"/>
      <c r="F400" s="734"/>
      <c r="G400" s="734"/>
      <c r="H400" s="734"/>
      <c r="I400" s="734"/>
      <c r="J400" s="734"/>
      <c r="K400" s="734"/>
      <c r="L400" s="734"/>
      <c r="M400" s="734"/>
      <c r="N400" s="734"/>
      <c r="O400" s="734"/>
    </row>
    <row r="401" spans="2:15" x14ac:dyDescent="0.3">
      <c r="B401" s="734"/>
      <c r="C401" s="734"/>
      <c r="D401" s="734"/>
      <c r="E401" s="734"/>
      <c r="F401" s="734"/>
      <c r="G401" s="734"/>
      <c r="H401" s="734"/>
      <c r="I401" s="734"/>
      <c r="J401" s="734"/>
      <c r="K401" s="734"/>
      <c r="L401" s="734"/>
      <c r="M401" s="734"/>
      <c r="N401" s="734"/>
      <c r="O401" s="734"/>
    </row>
    <row r="402" spans="2:15" x14ac:dyDescent="0.3">
      <c r="B402" s="734"/>
      <c r="C402" s="734"/>
      <c r="D402" s="734"/>
      <c r="E402" s="734"/>
      <c r="F402" s="734"/>
      <c r="G402" s="734"/>
      <c r="H402" s="734"/>
      <c r="I402" s="734"/>
      <c r="J402" s="734"/>
      <c r="K402" s="734"/>
      <c r="L402" s="734"/>
      <c r="M402" s="734"/>
      <c r="N402" s="734"/>
      <c r="O402" s="734"/>
    </row>
    <row r="403" spans="2:15" x14ac:dyDescent="0.3">
      <c r="B403" s="734"/>
      <c r="C403" s="734"/>
      <c r="D403" s="734"/>
      <c r="E403" s="734"/>
      <c r="F403" s="734"/>
      <c r="G403" s="734"/>
      <c r="H403" s="734"/>
      <c r="I403" s="734"/>
      <c r="J403" s="734"/>
      <c r="K403" s="734"/>
      <c r="L403" s="734"/>
      <c r="M403" s="734"/>
      <c r="N403" s="734"/>
      <c r="O403" s="734"/>
    </row>
    <row r="404" spans="2:15" x14ac:dyDescent="0.3">
      <c r="B404" s="734"/>
      <c r="C404" s="734"/>
      <c r="D404" s="734"/>
      <c r="E404" s="734"/>
      <c r="F404" s="734"/>
      <c r="G404" s="734"/>
      <c r="H404" s="734"/>
      <c r="I404" s="734"/>
      <c r="J404" s="734"/>
      <c r="K404" s="734"/>
      <c r="L404" s="734"/>
      <c r="M404" s="734"/>
      <c r="N404" s="734"/>
      <c r="O404" s="734"/>
    </row>
    <row r="405" spans="2:15" x14ac:dyDescent="0.3">
      <c r="B405" s="734"/>
      <c r="C405" s="734"/>
      <c r="D405" s="734"/>
      <c r="E405" s="734"/>
      <c r="F405" s="734"/>
      <c r="G405" s="734"/>
      <c r="H405" s="734"/>
      <c r="I405" s="734"/>
      <c r="J405" s="734"/>
      <c r="K405" s="734"/>
      <c r="L405" s="734"/>
      <c r="M405" s="734"/>
      <c r="N405" s="734"/>
      <c r="O405" s="734"/>
    </row>
    <row r="406" spans="2:15" x14ac:dyDescent="0.3">
      <c r="B406" s="734"/>
      <c r="C406" s="734"/>
      <c r="D406" s="734"/>
      <c r="E406" s="734"/>
      <c r="F406" s="734"/>
      <c r="G406" s="734"/>
      <c r="H406" s="734"/>
      <c r="I406" s="734"/>
      <c r="J406" s="734"/>
      <c r="K406" s="734"/>
      <c r="L406" s="734"/>
      <c r="M406" s="734"/>
      <c r="N406" s="734"/>
      <c r="O406" s="734"/>
    </row>
    <row r="407" spans="2:15" x14ac:dyDescent="0.3">
      <c r="B407" s="734"/>
      <c r="C407" s="734"/>
      <c r="D407" s="734"/>
      <c r="E407" s="734"/>
      <c r="F407" s="734"/>
      <c r="G407" s="734"/>
      <c r="H407" s="734"/>
      <c r="I407" s="734"/>
      <c r="J407" s="734"/>
      <c r="K407" s="734"/>
      <c r="L407" s="734"/>
      <c r="M407" s="734"/>
      <c r="N407" s="734"/>
      <c r="O407" s="734"/>
    </row>
    <row r="408" spans="2:15" x14ac:dyDescent="0.3">
      <c r="B408" s="734"/>
      <c r="C408" s="734"/>
      <c r="D408" s="734"/>
      <c r="E408" s="734"/>
      <c r="F408" s="734"/>
      <c r="G408" s="734"/>
      <c r="H408" s="734"/>
      <c r="I408" s="734"/>
      <c r="J408" s="734"/>
      <c r="K408" s="734"/>
      <c r="L408" s="734"/>
      <c r="M408" s="734"/>
      <c r="N408" s="734"/>
      <c r="O408" s="734"/>
    </row>
    <row r="409" spans="2:15" x14ac:dyDescent="0.3">
      <c r="B409" s="734"/>
      <c r="C409" s="734"/>
      <c r="D409" s="734"/>
      <c r="E409" s="734"/>
      <c r="F409" s="734"/>
      <c r="G409" s="734"/>
      <c r="H409" s="734"/>
      <c r="I409" s="734"/>
      <c r="J409" s="734"/>
      <c r="K409" s="734"/>
      <c r="L409" s="734"/>
      <c r="M409" s="734"/>
      <c r="N409" s="734"/>
      <c r="O409" s="734"/>
    </row>
    <row r="410" spans="2:15" x14ac:dyDescent="0.3">
      <c r="B410" s="734"/>
      <c r="C410" s="734"/>
      <c r="D410" s="734"/>
      <c r="E410" s="734"/>
      <c r="F410" s="734"/>
      <c r="G410" s="734"/>
      <c r="H410" s="734"/>
      <c r="I410" s="734"/>
      <c r="J410" s="734"/>
      <c r="K410" s="734"/>
      <c r="L410" s="734"/>
      <c r="M410" s="734"/>
      <c r="N410" s="734"/>
      <c r="O410" s="734"/>
    </row>
    <row r="411" spans="2:15" x14ac:dyDescent="0.3">
      <c r="B411" s="734"/>
      <c r="C411" s="734"/>
      <c r="D411" s="734"/>
      <c r="E411" s="734"/>
      <c r="F411" s="734"/>
      <c r="G411" s="734"/>
      <c r="H411" s="734"/>
      <c r="I411" s="734"/>
      <c r="J411" s="734"/>
      <c r="K411" s="734"/>
      <c r="L411" s="734"/>
      <c r="M411" s="734"/>
      <c r="N411" s="734"/>
      <c r="O411" s="734"/>
    </row>
    <row r="412" spans="2:15" x14ac:dyDescent="0.3">
      <c r="B412" s="734"/>
      <c r="C412" s="734"/>
      <c r="D412" s="734"/>
      <c r="E412" s="734"/>
      <c r="F412" s="734"/>
      <c r="G412" s="734"/>
      <c r="H412" s="734"/>
      <c r="I412" s="734"/>
      <c r="J412" s="734"/>
      <c r="K412" s="734"/>
      <c r="L412" s="734"/>
      <c r="M412" s="734"/>
      <c r="N412" s="734"/>
      <c r="O412" s="734"/>
    </row>
    <row r="413" spans="2:15" x14ac:dyDescent="0.3">
      <c r="B413" s="734"/>
      <c r="C413" s="734"/>
      <c r="D413" s="734"/>
      <c r="E413" s="734"/>
      <c r="F413" s="734"/>
      <c r="G413" s="734"/>
      <c r="H413" s="734"/>
      <c r="I413" s="734"/>
      <c r="J413" s="734"/>
      <c r="K413" s="734"/>
      <c r="L413" s="734"/>
      <c r="M413" s="734"/>
      <c r="N413" s="734"/>
      <c r="O413" s="734"/>
    </row>
    <row r="414" spans="2:15" x14ac:dyDescent="0.3">
      <c r="B414" s="734"/>
      <c r="C414" s="734"/>
      <c r="D414" s="734"/>
      <c r="E414" s="734"/>
      <c r="F414" s="734"/>
      <c r="G414" s="734"/>
      <c r="H414" s="734"/>
      <c r="I414" s="734"/>
      <c r="J414" s="734"/>
      <c r="K414" s="734"/>
      <c r="L414" s="734"/>
      <c r="M414" s="734"/>
      <c r="N414" s="734"/>
      <c r="O414" s="734"/>
    </row>
    <row r="415" spans="2:15" x14ac:dyDescent="0.3">
      <c r="B415" s="734"/>
      <c r="C415" s="734"/>
      <c r="D415" s="734"/>
      <c r="E415" s="734"/>
      <c r="F415" s="734"/>
      <c r="G415" s="734"/>
      <c r="H415" s="734"/>
      <c r="I415" s="734"/>
      <c r="J415" s="734"/>
      <c r="K415" s="734"/>
      <c r="L415" s="734"/>
      <c r="M415" s="734"/>
      <c r="N415" s="734"/>
      <c r="O415" s="734"/>
    </row>
    <row r="416" spans="2:15" x14ac:dyDescent="0.3">
      <c r="B416" s="734"/>
      <c r="C416" s="734"/>
      <c r="D416" s="734"/>
      <c r="E416" s="734"/>
      <c r="F416" s="734"/>
      <c r="G416" s="734"/>
      <c r="H416" s="734"/>
      <c r="I416" s="734"/>
      <c r="J416" s="734"/>
      <c r="K416" s="734"/>
      <c r="L416" s="734"/>
      <c r="M416" s="734"/>
      <c r="N416" s="734"/>
      <c r="O416" s="734"/>
    </row>
    <row r="417" spans="2:15" x14ac:dyDescent="0.3">
      <c r="B417" s="734"/>
      <c r="C417" s="734"/>
      <c r="D417" s="734"/>
      <c r="E417" s="734"/>
      <c r="F417" s="734"/>
      <c r="G417" s="734"/>
      <c r="H417" s="734"/>
      <c r="I417" s="734"/>
      <c r="J417" s="734"/>
      <c r="K417" s="734"/>
      <c r="L417" s="734"/>
      <c r="M417" s="734"/>
      <c r="N417" s="734"/>
      <c r="O417" s="734"/>
    </row>
    <row r="418" spans="2:15" x14ac:dyDescent="0.3">
      <c r="B418" s="734"/>
      <c r="C418" s="734"/>
      <c r="D418" s="734"/>
      <c r="E418" s="734"/>
      <c r="F418" s="734"/>
      <c r="G418" s="734"/>
      <c r="H418" s="734"/>
      <c r="I418" s="734"/>
      <c r="J418" s="734"/>
      <c r="K418" s="734"/>
      <c r="L418" s="734"/>
      <c r="M418" s="734"/>
      <c r="N418" s="734"/>
      <c r="O418" s="734"/>
    </row>
    <row r="419" spans="2:15" x14ac:dyDescent="0.3">
      <c r="B419" s="734"/>
      <c r="C419" s="734"/>
      <c r="D419" s="734"/>
      <c r="E419" s="734"/>
      <c r="F419" s="734"/>
      <c r="G419" s="734"/>
      <c r="H419" s="734"/>
      <c r="I419" s="734"/>
      <c r="J419" s="734"/>
      <c r="K419" s="734"/>
      <c r="L419" s="734"/>
      <c r="M419" s="734"/>
      <c r="N419" s="734"/>
      <c r="O419" s="734"/>
    </row>
    <row r="420" spans="2:15" x14ac:dyDescent="0.3">
      <c r="B420" s="734"/>
      <c r="C420" s="733"/>
      <c r="D420" s="734"/>
      <c r="E420" s="734"/>
      <c r="F420" s="734"/>
      <c r="G420" s="734"/>
      <c r="H420" s="734"/>
      <c r="I420" s="734"/>
      <c r="J420" s="734"/>
      <c r="K420" s="734"/>
      <c r="L420" s="734"/>
      <c r="M420" s="734"/>
      <c r="N420" s="734"/>
      <c r="O420" s="734"/>
    </row>
    <row r="421" spans="2:15" x14ac:dyDescent="0.3">
      <c r="B421" s="733"/>
      <c r="C421" s="733"/>
    </row>
    <row r="422" spans="2:15" x14ac:dyDescent="0.3">
      <c r="B422" s="733"/>
      <c r="C422" s="733"/>
    </row>
    <row r="423" spans="2:15" x14ac:dyDescent="0.3">
      <c r="B423" s="733"/>
      <c r="C423" s="733"/>
    </row>
    <row r="424" spans="2:15" x14ac:dyDescent="0.3">
      <c r="B424" s="733"/>
      <c r="C424" s="733"/>
    </row>
    <row r="425" spans="2:15" x14ac:dyDescent="0.3">
      <c r="B425" s="733"/>
      <c r="C425" s="733"/>
    </row>
    <row r="426" spans="2:15" x14ac:dyDescent="0.3">
      <c r="B426" s="733"/>
      <c r="C426" s="733"/>
    </row>
    <row r="427" spans="2:15" x14ac:dyDescent="0.3">
      <c r="B427" s="733"/>
      <c r="C427" s="733"/>
    </row>
    <row r="428" spans="2:15" x14ac:dyDescent="0.3">
      <c r="B428" s="733"/>
      <c r="C428" s="733"/>
    </row>
    <row r="429" spans="2:15" x14ac:dyDescent="0.3">
      <c r="B429" s="733"/>
      <c r="C429" s="733"/>
    </row>
    <row r="430" spans="2:15" x14ac:dyDescent="0.3">
      <c r="B430" s="733"/>
      <c r="C430" s="733"/>
    </row>
    <row r="431" spans="2:15" x14ac:dyDescent="0.3">
      <c r="B431" s="733"/>
      <c r="C431" s="733"/>
    </row>
    <row r="432" spans="2:15" x14ac:dyDescent="0.3">
      <c r="B432" s="733"/>
      <c r="C432" s="733"/>
    </row>
    <row r="433" spans="2:3" x14ac:dyDescent="0.3">
      <c r="B433" s="733"/>
      <c r="C433" s="733"/>
    </row>
    <row r="434" spans="2:3" x14ac:dyDescent="0.3">
      <c r="B434" s="733"/>
      <c r="C434" s="733"/>
    </row>
    <row r="435" spans="2:3" x14ac:dyDescent="0.3">
      <c r="B435" s="733"/>
      <c r="C435" s="733"/>
    </row>
    <row r="436" spans="2:3" x14ac:dyDescent="0.3">
      <c r="B436" s="733"/>
      <c r="C436" s="733"/>
    </row>
    <row r="437" spans="2:3" x14ac:dyDescent="0.3">
      <c r="B437" s="733"/>
      <c r="C437" s="733"/>
    </row>
    <row r="438" spans="2:3" x14ac:dyDescent="0.3">
      <c r="B438" s="733"/>
      <c r="C438" s="733"/>
    </row>
    <row r="439" spans="2:3" x14ac:dyDescent="0.3">
      <c r="B439" s="733"/>
      <c r="C439" s="733"/>
    </row>
    <row r="440" spans="2:3" x14ac:dyDescent="0.3">
      <c r="B440" s="733"/>
      <c r="C440" s="733"/>
    </row>
    <row r="441" spans="2:3" x14ac:dyDescent="0.3">
      <c r="B441" s="733"/>
      <c r="C441" s="733"/>
    </row>
    <row r="442" spans="2:3" x14ac:dyDescent="0.3">
      <c r="B442" s="733"/>
      <c r="C442" s="733"/>
    </row>
    <row r="443" spans="2:3" x14ac:dyDescent="0.3">
      <c r="B443" s="733"/>
      <c r="C443" s="733"/>
    </row>
    <row r="444" spans="2:3" x14ac:dyDescent="0.3">
      <c r="B444" s="733"/>
      <c r="C444" s="733"/>
    </row>
    <row r="445" spans="2:3" x14ac:dyDescent="0.3">
      <c r="B445" s="733"/>
      <c r="C445" s="733"/>
    </row>
    <row r="446" spans="2:3" x14ac:dyDescent="0.3">
      <c r="B446" s="733"/>
      <c r="C446" s="733"/>
    </row>
    <row r="447" spans="2:3" x14ac:dyDescent="0.3">
      <c r="B447" s="733"/>
      <c r="C447" s="733"/>
    </row>
    <row r="448" spans="2:3" x14ac:dyDescent="0.3">
      <c r="B448" s="733"/>
      <c r="C448" s="733"/>
    </row>
    <row r="449" spans="2:3" x14ac:dyDescent="0.3">
      <c r="B449" s="733"/>
      <c r="C449" s="733"/>
    </row>
    <row r="450" spans="2:3" x14ac:dyDescent="0.3">
      <c r="B450" s="733"/>
      <c r="C450" s="733"/>
    </row>
    <row r="451" spans="2:3" x14ac:dyDescent="0.3">
      <c r="B451" s="733"/>
      <c r="C451" s="733"/>
    </row>
    <row r="452" spans="2:3" x14ac:dyDescent="0.3">
      <c r="B452" s="733"/>
      <c r="C452" s="733"/>
    </row>
    <row r="453" spans="2:3" x14ac:dyDescent="0.3">
      <c r="B453" s="733"/>
      <c r="C453" s="733"/>
    </row>
    <row r="454" spans="2:3" x14ac:dyDescent="0.3">
      <c r="B454" s="733"/>
      <c r="C454" s="733"/>
    </row>
    <row r="455" spans="2:3" x14ac:dyDescent="0.3">
      <c r="B455" s="733"/>
      <c r="C455" s="733"/>
    </row>
    <row r="456" spans="2:3" x14ac:dyDescent="0.3">
      <c r="B456" s="733"/>
      <c r="C456" s="733"/>
    </row>
    <row r="457" spans="2:3" x14ac:dyDescent="0.3">
      <c r="B457" s="733"/>
      <c r="C457" s="733"/>
    </row>
    <row r="458" spans="2:3" x14ac:dyDescent="0.3">
      <c r="B458" s="733"/>
      <c r="C458" s="733"/>
    </row>
    <row r="459" spans="2:3" x14ac:dyDescent="0.3">
      <c r="B459" s="733"/>
      <c r="C459" s="733"/>
    </row>
    <row r="460" spans="2:3" x14ac:dyDescent="0.3">
      <c r="B460" s="733"/>
      <c r="C460" s="733"/>
    </row>
    <row r="461" spans="2:3" x14ac:dyDescent="0.3">
      <c r="B461" s="733"/>
      <c r="C461" s="733"/>
    </row>
    <row r="462" spans="2:3" x14ac:dyDescent="0.3">
      <c r="B462" s="733"/>
      <c r="C462" s="733"/>
    </row>
    <row r="463" spans="2:3" x14ac:dyDescent="0.3">
      <c r="B463" s="733"/>
      <c r="C463" s="733"/>
    </row>
    <row r="464" spans="2:3" x14ac:dyDescent="0.3">
      <c r="B464" s="733"/>
      <c r="C464" s="733"/>
    </row>
    <row r="465" spans="2:3" x14ac:dyDescent="0.3">
      <c r="B465" s="733"/>
      <c r="C465" s="733"/>
    </row>
    <row r="466" spans="2:3" x14ac:dyDescent="0.3">
      <c r="B466" s="733"/>
    </row>
  </sheetData>
  <mergeCells count="5">
    <mergeCell ref="AO72:AO73"/>
    <mergeCell ref="AO74:AO80"/>
    <mergeCell ref="AO315:AO321"/>
    <mergeCell ref="AO322:AO330"/>
    <mergeCell ref="AO331:AO334"/>
  </mergeCells>
  <pageMargins left="0.76" right="0.62992125984251968" top="0.98425196850393704" bottom="0.98425196850393704" header="0.19" footer="0"/>
  <pageSetup paperSize="9" scale="90" orientation="portrait" horizontalDpi="300" verticalDpi="300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2"/>
  <sheetViews>
    <sheetView workbookViewId="0">
      <selection activeCell="D14" sqref="D14"/>
    </sheetView>
  </sheetViews>
  <sheetFormatPr defaultRowHeight="14.4" x14ac:dyDescent="0.3"/>
  <cols>
    <col min="2" max="2" width="30.109375" customWidth="1"/>
    <col min="3" max="3" width="33.109375" customWidth="1"/>
    <col min="4" max="4" width="28" customWidth="1"/>
    <col min="5" max="13" width="8.6640625" customWidth="1"/>
  </cols>
  <sheetData>
    <row r="1" spans="1:4" x14ac:dyDescent="0.3">
      <c r="A1" s="21" t="s">
        <v>2284</v>
      </c>
      <c r="B1" s="21"/>
    </row>
    <row r="4" spans="1:4" ht="44.4" customHeight="1" x14ac:dyDescent="0.3">
      <c r="A4" s="17"/>
      <c r="B4" s="17" t="s">
        <v>66</v>
      </c>
      <c r="C4" s="58" t="s">
        <v>67</v>
      </c>
      <c r="D4" s="59" t="s">
        <v>68</v>
      </c>
    </row>
    <row r="5" spans="1:4" x14ac:dyDescent="0.3">
      <c r="A5" s="17" t="s">
        <v>69</v>
      </c>
      <c r="B5" s="17" t="s">
        <v>70</v>
      </c>
      <c r="C5" s="18">
        <v>57749</v>
      </c>
      <c r="D5" s="879">
        <v>5000</v>
      </c>
    </row>
    <row r="6" spans="1:4" x14ac:dyDescent="0.3">
      <c r="A6" s="17" t="s">
        <v>71</v>
      </c>
      <c r="B6" s="17" t="s">
        <v>72</v>
      </c>
      <c r="C6" s="18">
        <v>116624</v>
      </c>
      <c r="D6" s="880"/>
    </row>
    <row r="7" spans="1:4" x14ac:dyDescent="0.3">
      <c r="A7" s="17" t="s">
        <v>73</v>
      </c>
      <c r="B7" s="17" t="s">
        <v>74</v>
      </c>
      <c r="C7" s="18">
        <v>37275.94</v>
      </c>
      <c r="D7" s="881"/>
    </row>
    <row r="8" spans="1:4" x14ac:dyDescent="0.3">
      <c r="D8" s="24"/>
    </row>
    <row r="9" spans="1:4" x14ac:dyDescent="0.3">
      <c r="B9" t="s">
        <v>2286</v>
      </c>
    </row>
    <row r="10" spans="1:4" x14ac:dyDescent="0.3">
      <c r="B10" t="s">
        <v>75</v>
      </c>
    </row>
    <row r="12" spans="1:4" ht="28.8" x14ac:dyDescent="0.3">
      <c r="B12" s="23" t="s">
        <v>76</v>
      </c>
      <c r="C12" s="58" t="s">
        <v>67</v>
      </c>
    </row>
    <row r="13" spans="1:4" x14ac:dyDescent="0.3">
      <c r="B13" s="17" t="s">
        <v>77</v>
      </c>
      <c r="C13" s="18">
        <v>2202.6799999999998</v>
      </c>
    </row>
    <row r="14" spans="1:4" x14ac:dyDescent="0.3">
      <c r="B14" s="17" t="s">
        <v>78</v>
      </c>
      <c r="C14" s="18">
        <v>9000</v>
      </c>
    </row>
    <row r="15" spans="1:4" x14ac:dyDescent="0.3">
      <c r="B15" s="17" t="s">
        <v>79</v>
      </c>
      <c r="C15" s="18">
        <v>6712.08</v>
      </c>
    </row>
    <row r="16" spans="1:4" x14ac:dyDescent="0.3">
      <c r="B16" s="17" t="s">
        <v>80</v>
      </c>
      <c r="C16" s="18">
        <v>2660.14</v>
      </c>
    </row>
    <row r="17" spans="2:3" x14ac:dyDescent="0.3">
      <c r="B17" s="17" t="s">
        <v>81</v>
      </c>
      <c r="C17" s="18">
        <v>7701.04</v>
      </c>
    </row>
    <row r="18" spans="2:3" x14ac:dyDescent="0.3">
      <c r="B18" s="17" t="s">
        <v>82</v>
      </c>
      <c r="C18" s="18">
        <v>9000</v>
      </c>
    </row>
    <row r="19" spans="2:3" x14ac:dyDescent="0.3">
      <c r="B19" s="25" t="s">
        <v>83</v>
      </c>
      <c r="C19" s="26">
        <f>SUM(C13:C18)</f>
        <v>37275.94</v>
      </c>
    </row>
    <row r="22" spans="2:3" x14ac:dyDescent="0.3">
      <c r="B22" s="21" t="s">
        <v>121</v>
      </c>
    </row>
  </sheetData>
  <mergeCells count="1">
    <mergeCell ref="D5:D7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21AAA-D772-47D5-8BFA-DB85968E2FA3}">
  <dimension ref="A2:P38"/>
  <sheetViews>
    <sheetView workbookViewId="0">
      <selection activeCell="G20" sqref="G20"/>
    </sheetView>
  </sheetViews>
  <sheetFormatPr defaultRowHeight="14.4" x14ac:dyDescent="0.3"/>
  <cols>
    <col min="2" max="2" width="26.88671875" bestFit="1" customWidth="1"/>
    <col min="3" max="4" width="14.109375" customWidth="1"/>
    <col min="5" max="5" width="16.77734375" customWidth="1"/>
    <col min="6" max="6" width="14.5546875" customWidth="1"/>
    <col min="7" max="7" width="16.5546875" customWidth="1"/>
    <col min="8" max="8" width="18" customWidth="1"/>
    <col min="9" max="9" width="20.6640625" bestFit="1" customWidth="1"/>
    <col min="10" max="10" width="20.6640625" customWidth="1"/>
    <col min="11" max="11" width="13.44140625" customWidth="1"/>
    <col min="12" max="12" width="14.33203125" customWidth="1"/>
    <col min="13" max="13" width="14.21875" customWidth="1"/>
    <col min="14" max="14" width="14.77734375" customWidth="1"/>
  </cols>
  <sheetData>
    <row r="2" spans="1:16" x14ac:dyDescent="0.3">
      <c r="B2" s="21" t="s">
        <v>738</v>
      </c>
    </row>
    <row r="4" spans="1:16" ht="72" x14ac:dyDescent="0.3">
      <c r="A4" s="17" t="s">
        <v>189</v>
      </c>
      <c r="B4" s="307" t="s">
        <v>739</v>
      </c>
      <c r="C4" s="307" t="s">
        <v>740</v>
      </c>
      <c r="D4" s="307" t="s">
        <v>741</v>
      </c>
      <c r="E4" s="307" t="s">
        <v>742</v>
      </c>
      <c r="F4" s="627" t="s">
        <v>743</v>
      </c>
      <c r="G4" s="307" t="s">
        <v>744</v>
      </c>
      <c r="H4" s="307" t="s">
        <v>745</v>
      </c>
      <c r="I4" s="307" t="s">
        <v>746</v>
      </c>
      <c r="J4" s="307" t="s">
        <v>747</v>
      </c>
      <c r="K4" s="307" t="s">
        <v>748</v>
      </c>
    </row>
    <row r="5" spans="1:16" x14ac:dyDescent="0.3">
      <c r="A5" s="17">
        <v>1</v>
      </c>
      <c r="B5" s="117" t="s">
        <v>749</v>
      </c>
      <c r="C5" s="628">
        <v>88.5</v>
      </c>
      <c r="D5" s="629">
        <v>2010</v>
      </c>
      <c r="E5" s="17"/>
      <c r="F5" s="630">
        <v>123900</v>
      </c>
      <c r="G5" s="125">
        <f>82280+1419</f>
        <v>83699</v>
      </c>
      <c r="H5" s="17"/>
      <c r="I5" s="125">
        <v>8701</v>
      </c>
      <c r="J5" s="125">
        <v>106689</v>
      </c>
      <c r="K5" s="125">
        <v>2000</v>
      </c>
    </row>
    <row r="6" spans="1:16" x14ac:dyDescent="0.3">
      <c r="A6" s="17">
        <v>2</v>
      </c>
      <c r="B6" s="117" t="s">
        <v>750</v>
      </c>
      <c r="C6" s="628">
        <v>115</v>
      </c>
      <c r="D6" s="629" t="s">
        <v>751</v>
      </c>
      <c r="E6" s="17"/>
      <c r="F6" s="630">
        <v>161000</v>
      </c>
      <c r="G6" s="125">
        <f>95364+2349</f>
        <v>97713</v>
      </c>
      <c r="H6" s="17"/>
      <c r="I6" s="125">
        <v>7879</v>
      </c>
      <c r="J6" s="125">
        <v>65419</v>
      </c>
      <c r="K6" s="125">
        <v>1100</v>
      </c>
      <c r="P6" t="s">
        <v>752</v>
      </c>
    </row>
    <row r="7" spans="1:16" x14ac:dyDescent="0.3">
      <c r="A7" s="17">
        <v>3</v>
      </c>
      <c r="B7" s="117" t="s">
        <v>753</v>
      </c>
      <c r="C7" s="628">
        <v>285</v>
      </c>
      <c r="D7" s="629" t="s">
        <v>754</v>
      </c>
      <c r="E7" s="17">
        <v>2018</v>
      </c>
      <c r="F7" s="630">
        <v>399000</v>
      </c>
      <c r="G7" s="125">
        <f>180320+3068</f>
        <v>183388</v>
      </c>
      <c r="H7" s="17"/>
      <c r="I7" s="125">
        <v>21866</v>
      </c>
      <c r="J7" s="125">
        <v>249744</v>
      </c>
      <c r="K7" s="125">
        <v>2600</v>
      </c>
      <c r="P7" t="s">
        <v>752</v>
      </c>
    </row>
    <row r="8" spans="1:16" x14ac:dyDescent="0.3">
      <c r="A8" s="17">
        <v>4</v>
      </c>
      <c r="B8" s="117" t="s">
        <v>755</v>
      </c>
      <c r="C8" s="628">
        <v>95</v>
      </c>
      <c r="D8" s="629" t="s">
        <v>756</v>
      </c>
      <c r="E8" s="17">
        <v>2004</v>
      </c>
      <c r="F8" s="630">
        <v>133000</v>
      </c>
      <c r="G8" s="125">
        <f>73147+1408</f>
        <v>74555</v>
      </c>
      <c r="H8" s="17"/>
      <c r="I8" s="125">
        <v>7762</v>
      </c>
      <c r="J8" s="125">
        <v>57420</v>
      </c>
      <c r="K8" s="125">
        <v>1100</v>
      </c>
      <c r="M8" s="26"/>
      <c r="P8" t="s">
        <v>752</v>
      </c>
    </row>
    <row r="9" spans="1:16" x14ac:dyDescent="0.3">
      <c r="A9" s="17">
        <v>5</v>
      </c>
      <c r="B9" s="117" t="s">
        <v>757</v>
      </c>
      <c r="C9" s="628">
        <v>43</v>
      </c>
      <c r="D9" s="629" t="s">
        <v>758</v>
      </c>
      <c r="E9" s="17"/>
      <c r="F9" s="630">
        <v>60200</v>
      </c>
      <c r="G9" s="125">
        <f>30696+1017</f>
        <v>31713</v>
      </c>
      <c r="H9" s="17"/>
      <c r="I9" s="125">
        <v>6398</v>
      </c>
      <c r="J9" s="125">
        <v>29042</v>
      </c>
      <c r="K9" s="125">
        <v>1100</v>
      </c>
      <c r="M9" s="26"/>
      <c r="P9" t="s">
        <v>752</v>
      </c>
    </row>
    <row r="10" spans="1:16" x14ac:dyDescent="0.3">
      <c r="A10" s="17">
        <v>6</v>
      </c>
      <c r="B10" s="117" t="s">
        <v>759</v>
      </c>
      <c r="C10" s="628">
        <v>93</v>
      </c>
      <c r="D10" s="629" t="s">
        <v>760</v>
      </c>
      <c r="E10" s="17">
        <v>2008</v>
      </c>
      <c r="F10" s="126">
        <v>127762</v>
      </c>
      <c r="G10" s="125">
        <f>83028+2336</f>
        <v>85364</v>
      </c>
      <c r="H10" s="17"/>
      <c r="I10" s="125">
        <v>9639</v>
      </c>
      <c r="J10" s="125">
        <v>38282</v>
      </c>
      <c r="K10" s="125">
        <v>1100</v>
      </c>
      <c r="M10" s="26"/>
      <c r="P10" t="s">
        <v>752</v>
      </c>
    </row>
    <row r="11" spans="1:16" ht="28.8" x14ac:dyDescent="0.3">
      <c r="A11" s="17">
        <v>7</v>
      </c>
      <c r="B11" s="117" t="s">
        <v>761</v>
      </c>
      <c r="C11" s="628">
        <v>111</v>
      </c>
      <c r="D11" s="629" t="s">
        <v>762</v>
      </c>
      <c r="E11" s="17"/>
      <c r="F11" s="631" t="s">
        <v>763</v>
      </c>
      <c r="G11" s="125">
        <f>77280+1082-9950</f>
        <v>68412</v>
      </c>
      <c r="H11" s="17"/>
      <c r="I11" s="125">
        <v>7608</v>
      </c>
      <c r="J11" s="125">
        <v>44342</v>
      </c>
      <c r="K11" s="125">
        <v>1500</v>
      </c>
      <c r="M11" s="26"/>
      <c r="P11" t="s">
        <v>752</v>
      </c>
    </row>
    <row r="12" spans="1:16" x14ac:dyDescent="0.3">
      <c r="A12" s="17">
        <v>8</v>
      </c>
      <c r="B12" s="117" t="s">
        <v>764</v>
      </c>
      <c r="C12" s="628">
        <v>102</v>
      </c>
      <c r="D12" s="629" t="s">
        <v>765</v>
      </c>
      <c r="E12" s="17"/>
      <c r="F12" s="126">
        <v>127762</v>
      </c>
      <c r="G12" s="125">
        <f>63762+880</f>
        <v>64642</v>
      </c>
      <c r="H12" s="17"/>
      <c r="I12" s="125">
        <v>7411</v>
      </c>
      <c r="J12" s="125">
        <v>200769</v>
      </c>
      <c r="K12" s="125">
        <v>2000</v>
      </c>
      <c r="M12" s="26"/>
      <c r="P12" t="s">
        <v>752</v>
      </c>
    </row>
    <row r="13" spans="1:16" ht="28.8" x14ac:dyDescent="0.3">
      <c r="A13" s="17">
        <v>9</v>
      </c>
      <c r="B13" s="117" t="s">
        <v>766</v>
      </c>
      <c r="C13" s="628">
        <v>966</v>
      </c>
      <c r="D13" s="629" t="s">
        <v>767</v>
      </c>
      <c r="E13" s="17">
        <v>2002</v>
      </c>
      <c r="F13" s="632">
        <v>1352400</v>
      </c>
      <c r="G13" s="125">
        <f>115662+171+5580+2495+217+279506+4204+4918+355+3550+417+121164+942+110864+3484+33692</f>
        <v>687221</v>
      </c>
      <c r="H13" s="17"/>
      <c r="I13" s="125">
        <v>87709</v>
      </c>
      <c r="J13" s="125">
        <f>360142+107509</f>
        <v>467651</v>
      </c>
      <c r="K13" s="125">
        <v>4600</v>
      </c>
      <c r="M13" s="26"/>
      <c r="P13" t="s">
        <v>752</v>
      </c>
    </row>
    <row r="14" spans="1:16" x14ac:dyDescent="0.3">
      <c r="A14" s="17">
        <v>11</v>
      </c>
      <c r="B14" s="117" t="s">
        <v>768</v>
      </c>
      <c r="C14" s="628">
        <v>50</v>
      </c>
      <c r="D14" s="629" t="s">
        <v>756</v>
      </c>
      <c r="E14" s="17"/>
      <c r="F14" s="632">
        <v>60000</v>
      </c>
      <c r="G14" s="125"/>
      <c r="H14" s="17"/>
      <c r="I14" s="125"/>
      <c r="J14" s="125"/>
      <c r="K14" s="125"/>
      <c r="M14" s="26"/>
    </row>
    <row r="15" spans="1:16" x14ac:dyDescent="0.3">
      <c r="A15" s="17">
        <v>12</v>
      </c>
      <c r="B15" s="117" t="s">
        <v>769</v>
      </c>
      <c r="C15" s="628">
        <v>30</v>
      </c>
      <c r="D15" s="629" t="s">
        <v>756</v>
      </c>
      <c r="E15" s="17"/>
      <c r="F15" s="632">
        <v>36000</v>
      </c>
      <c r="G15" s="125"/>
      <c r="H15" s="17"/>
      <c r="I15" s="125"/>
      <c r="J15" s="125"/>
      <c r="K15" s="125"/>
      <c r="M15" s="26"/>
    </row>
    <row r="16" spans="1:16" x14ac:dyDescent="0.3">
      <c r="B16" s="110"/>
      <c r="C16" s="633"/>
      <c r="D16" s="633"/>
      <c r="F16" s="634">
        <f>F5+F6+F7+F8+F9+F10+F12+F13+F14+F15</f>
        <v>2581024</v>
      </c>
      <c r="G16" s="635">
        <f>SUM(G5:G13)</f>
        <v>1376707</v>
      </c>
      <c r="H16" s="635">
        <v>404543</v>
      </c>
      <c r="I16" s="635">
        <f>SUM(I5:I13)</f>
        <v>164973</v>
      </c>
      <c r="J16" s="635">
        <f>SUM(J5:J13)</f>
        <v>1259358</v>
      </c>
      <c r="K16" s="635">
        <f>SUM(K5:K13)</f>
        <v>17100</v>
      </c>
      <c r="M16" s="26"/>
      <c r="P16" t="s">
        <v>752</v>
      </c>
    </row>
    <row r="17" spans="1:14" x14ac:dyDescent="0.3">
      <c r="B17" s="110"/>
      <c r="C17" s="633"/>
      <c r="D17" s="633"/>
      <c r="F17" s="634"/>
      <c r="G17" s="635"/>
      <c r="H17" s="635"/>
      <c r="I17" s="635"/>
      <c r="J17" s="635"/>
      <c r="K17" s="635"/>
      <c r="M17" s="26"/>
    </row>
    <row r="18" spans="1:14" x14ac:dyDescent="0.3">
      <c r="A18" s="636" t="s">
        <v>217</v>
      </c>
      <c r="B18" s="81" t="s">
        <v>770</v>
      </c>
    </row>
    <row r="20" spans="1:14" x14ac:dyDescent="0.3">
      <c r="B20" t="s">
        <v>771</v>
      </c>
      <c r="C20">
        <v>55</v>
      </c>
      <c r="D20" t="s">
        <v>772</v>
      </c>
    </row>
    <row r="22" spans="1:14" ht="15" thickBot="1" x14ac:dyDescent="0.35">
      <c r="A22" s="21" t="s">
        <v>773</v>
      </c>
      <c r="B22" s="56"/>
      <c r="D22" s="56"/>
      <c r="K22" s="1"/>
      <c r="L22" s="1"/>
      <c r="M22" s="1"/>
      <c r="N22" s="57"/>
    </row>
    <row r="23" spans="1:14" ht="15" thickBot="1" x14ac:dyDescent="0.35">
      <c r="A23" s="872" t="s">
        <v>37</v>
      </c>
      <c r="B23" s="873"/>
      <c r="C23" s="873"/>
      <c r="D23" s="873"/>
      <c r="E23" s="873"/>
      <c r="F23" s="873"/>
      <c r="G23" s="873"/>
      <c r="H23" s="874"/>
      <c r="I23" s="872" t="s">
        <v>38</v>
      </c>
      <c r="J23" s="1001"/>
      <c r="K23" s="873"/>
      <c r="L23" s="873"/>
      <c r="M23" s="873"/>
      <c r="N23" s="874"/>
    </row>
    <row r="24" spans="1:14" ht="69.599999999999994" thickBot="1" x14ac:dyDescent="0.35">
      <c r="A24" s="100"/>
      <c r="B24" s="101" t="s">
        <v>40</v>
      </c>
      <c r="C24" s="1002" t="s">
        <v>41</v>
      </c>
      <c r="D24" s="1003"/>
      <c r="E24" s="579" t="s">
        <v>42</v>
      </c>
      <c r="F24" s="1004" t="s">
        <v>43</v>
      </c>
      <c r="G24" s="1005"/>
      <c r="H24" s="7" t="s">
        <v>239</v>
      </c>
      <c r="I24" s="7" t="s">
        <v>774</v>
      </c>
      <c r="J24" s="7" t="s">
        <v>775</v>
      </c>
      <c r="K24" s="8" t="s">
        <v>45</v>
      </c>
      <c r="L24" s="7" t="s">
        <v>46</v>
      </c>
      <c r="M24" s="7" t="s">
        <v>47</v>
      </c>
      <c r="N24" s="6" t="s">
        <v>776</v>
      </c>
    </row>
    <row r="25" spans="1:14" ht="29.4" customHeight="1" thickBot="1" x14ac:dyDescent="0.35">
      <c r="A25" s="9"/>
      <c r="B25" s="637"/>
      <c r="C25" s="1006" t="s">
        <v>777</v>
      </c>
      <c r="D25" s="1007"/>
      <c r="E25" s="638" t="s">
        <v>777</v>
      </c>
      <c r="F25" s="1008" t="s">
        <v>777</v>
      </c>
      <c r="G25" s="1009"/>
      <c r="H25" s="639"/>
      <c r="I25" s="640"/>
      <c r="J25" s="640"/>
      <c r="K25" s="641"/>
      <c r="L25" s="641"/>
      <c r="M25" s="642"/>
      <c r="N25" s="108"/>
    </row>
    <row r="26" spans="1:14" ht="15" thickBot="1" x14ac:dyDescent="0.35">
      <c r="A26" s="17">
        <v>1</v>
      </c>
      <c r="B26" s="117" t="s">
        <v>749</v>
      </c>
      <c r="C26" s="1010"/>
      <c r="D26" s="1011"/>
      <c r="E26" s="643"/>
      <c r="F26" s="1012">
        <v>3100</v>
      </c>
      <c r="G26" s="1013"/>
      <c r="H26" s="108"/>
      <c r="I26" s="108">
        <v>1100</v>
      </c>
      <c r="J26" s="108">
        <v>1800</v>
      </c>
      <c r="K26" s="108"/>
      <c r="L26" s="628">
        <v>2000</v>
      </c>
      <c r="M26" s="108"/>
      <c r="N26" s="108">
        <v>1600</v>
      </c>
    </row>
    <row r="27" spans="1:14" ht="15" thickBot="1" x14ac:dyDescent="0.35">
      <c r="A27" s="17">
        <v>2</v>
      </c>
      <c r="B27" s="117" t="s">
        <v>750</v>
      </c>
      <c r="C27" s="1010"/>
      <c r="D27" s="1011"/>
      <c r="E27" s="643"/>
      <c r="F27" s="1014">
        <v>3100</v>
      </c>
      <c r="G27" s="1015"/>
      <c r="H27" s="108"/>
      <c r="I27" s="108">
        <v>1100</v>
      </c>
      <c r="J27" s="108">
        <v>1800</v>
      </c>
      <c r="K27" s="108"/>
      <c r="L27" s="628">
        <v>1100</v>
      </c>
      <c r="M27" s="108"/>
      <c r="N27" s="108">
        <v>1600</v>
      </c>
    </row>
    <row r="28" spans="1:14" ht="15" thickBot="1" x14ac:dyDescent="0.35">
      <c r="A28" s="17">
        <v>3</v>
      </c>
      <c r="B28" s="117" t="s">
        <v>753</v>
      </c>
      <c r="C28" s="1014">
        <v>50000</v>
      </c>
      <c r="D28" s="1016"/>
      <c r="E28" s="643"/>
      <c r="F28" s="1014">
        <v>11500</v>
      </c>
      <c r="G28" s="1015"/>
      <c r="H28" s="108"/>
      <c r="I28" s="108">
        <v>1100</v>
      </c>
      <c r="J28" s="108">
        <v>1800</v>
      </c>
      <c r="K28" s="108">
        <v>2000</v>
      </c>
      <c r="L28" s="628">
        <v>2600</v>
      </c>
      <c r="M28" s="108"/>
      <c r="N28" s="108">
        <v>1600</v>
      </c>
    </row>
    <row r="29" spans="1:14" ht="15" thickBot="1" x14ac:dyDescent="0.35">
      <c r="A29" s="17">
        <v>4</v>
      </c>
      <c r="B29" s="117" t="s">
        <v>755</v>
      </c>
      <c r="C29" s="1010"/>
      <c r="D29" s="1011"/>
      <c r="E29" s="643"/>
      <c r="F29" s="1014">
        <v>3100</v>
      </c>
      <c r="G29" s="1015"/>
      <c r="H29" s="108"/>
      <c r="I29" s="108">
        <v>1100</v>
      </c>
      <c r="J29" s="108">
        <v>1800</v>
      </c>
      <c r="K29" s="108"/>
      <c r="L29" s="628">
        <v>1100</v>
      </c>
      <c r="M29" s="108"/>
      <c r="N29" s="108">
        <v>1600</v>
      </c>
    </row>
    <row r="30" spans="1:14" ht="15" thickBot="1" x14ac:dyDescent="0.35">
      <c r="A30" s="17">
        <v>5</v>
      </c>
      <c r="B30" s="117" t="s">
        <v>757</v>
      </c>
      <c r="C30" s="1010"/>
      <c r="D30" s="1011"/>
      <c r="E30" s="643"/>
      <c r="F30" s="1014">
        <v>3100</v>
      </c>
      <c r="G30" s="1015"/>
      <c r="H30" s="108"/>
      <c r="I30" s="108">
        <v>1100</v>
      </c>
      <c r="J30" s="108">
        <v>1800</v>
      </c>
      <c r="K30" s="108"/>
      <c r="L30" s="628">
        <v>1100</v>
      </c>
      <c r="M30" s="108"/>
      <c r="N30" s="108">
        <v>1600</v>
      </c>
    </row>
    <row r="31" spans="1:14" ht="15" thickBot="1" x14ac:dyDescent="0.35">
      <c r="A31" s="17">
        <v>6</v>
      </c>
      <c r="B31" s="117" t="s">
        <v>778</v>
      </c>
      <c r="C31" s="1010"/>
      <c r="D31" s="1011"/>
      <c r="E31" s="643"/>
      <c r="F31" s="1014">
        <v>3100</v>
      </c>
      <c r="G31" s="1015"/>
      <c r="H31" s="108"/>
      <c r="I31" s="108">
        <v>1100</v>
      </c>
      <c r="J31" s="108">
        <v>1800</v>
      </c>
      <c r="K31" s="108"/>
      <c r="L31" s="628">
        <v>1100</v>
      </c>
      <c r="M31" s="108"/>
      <c r="N31" s="108">
        <v>1600</v>
      </c>
    </row>
    <row r="32" spans="1:14" ht="15" thickBot="1" x14ac:dyDescent="0.35">
      <c r="A32" s="17">
        <v>7</v>
      </c>
      <c r="B32" s="117" t="s">
        <v>761</v>
      </c>
      <c r="C32" s="1014">
        <v>30000</v>
      </c>
      <c r="D32" s="1016"/>
      <c r="E32" s="643"/>
      <c r="F32" s="1014">
        <v>3100</v>
      </c>
      <c r="G32" s="1015"/>
      <c r="H32" s="108"/>
      <c r="I32" s="108">
        <v>1100</v>
      </c>
      <c r="J32" s="108">
        <v>1800</v>
      </c>
      <c r="K32" s="108"/>
      <c r="L32" s="628">
        <v>1500</v>
      </c>
      <c r="M32" s="108"/>
      <c r="N32" s="108" t="s">
        <v>779</v>
      </c>
    </row>
    <row r="33" spans="1:14" ht="15" thickBot="1" x14ac:dyDescent="0.35">
      <c r="A33" s="17">
        <v>8</v>
      </c>
      <c r="B33" s="117" t="s">
        <v>780</v>
      </c>
      <c r="C33" s="1010"/>
      <c r="D33" s="1011"/>
      <c r="E33" s="643"/>
      <c r="F33" s="1014">
        <v>3100</v>
      </c>
      <c r="G33" s="1015"/>
      <c r="H33" s="108"/>
      <c r="I33" s="108">
        <v>1100</v>
      </c>
      <c r="J33" s="108">
        <v>1800</v>
      </c>
      <c r="K33" s="108">
        <v>2000</v>
      </c>
      <c r="L33" s="628">
        <v>2000</v>
      </c>
      <c r="M33" s="108"/>
      <c r="N33" s="108">
        <v>1600</v>
      </c>
    </row>
    <row r="34" spans="1:14" ht="15" customHeight="1" thickBot="1" x14ac:dyDescent="0.35">
      <c r="A34" s="17">
        <v>9</v>
      </c>
      <c r="B34" s="117" t="s">
        <v>766</v>
      </c>
      <c r="C34" s="1014">
        <v>10900</v>
      </c>
      <c r="D34" s="1016"/>
      <c r="E34" s="81"/>
      <c r="F34" s="1012">
        <v>14500</v>
      </c>
      <c r="G34" s="1013"/>
      <c r="H34" s="108"/>
      <c r="I34" s="108">
        <v>1100</v>
      </c>
      <c r="J34" s="108">
        <v>1800</v>
      </c>
      <c r="K34" s="108">
        <v>3500</v>
      </c>
      <c r="L34" s="628">
        <v>4600</v>
      </c>
      <c r="M34" s="108"/>
      <c r="N34" s="108">
        <v>1600</v>
      </c>
    </row>
    <row r="35" spans="1:14" ht="15" thickBot="1" x14ac:dyDescent="0.35">
      <c r="A35" s="17">
        <v>11</v>
      </c>
      <c r="B35" s="117" t="s">
        <v>768</v>
      </c>
      <c r="C35" s="1010"/>
      <c r="D35" s="1011"/>
      <c r="E35" s="643"/>
      <c r="F35" s="1014">
        <v>3100</v>
      </c>
      <c r="G35" s="1015"/>
      <c r="H35" s="108"/>
      <c r="I35" s="108">
        <v>10</v>
      </c>
      <c r="J35" s="108"/>
      <c r="K35" s="108"/>
      <c r="L35" s="628"/>
      <c r="M35" s="108"/>
      <c r="N35" s="108">
        <v>1600</v>
      </c>
    </row>
    <row r="36" spans="1:14" x14ac:dyDescent="0.3">
      <c r="A36" s="17">
        <v>12</v>
      </c>
      <c r="B36" s="117" t="s">
        <v>769</v>
      </c>
      <c r="C36" s="1012">
        <v>2200</v>
      </c>
      <c r="D36" s="1017"/>
      <c r="E36" s="644"/>
      <c r="F36" s="1012">
        <v>3100</v>
      </c>
      <c r="G36" s="1013"/>
      <c r="H36" s="108"/>
      <c r="I36" s="108">
        <v>10</v>
      </c>
      <c r="J36" s="108"/>
      <c r="K36" s="108"/>
      <c r="L36" s="628"/>
      <c r="M36" s="108"/>
      <c r="N36" s="108">
        <v>1600</v>
      </c>
    </row>
    <row r="37" spans="1:14" x14ac:dyDescent="0.3">
      <c r="L37" s="127"/>
    </row>
    <row r="38" spans="1:14" x14ac:dyDescent="0.3">
      <c r="B38" t="s">
        <v>781</v>
      </c>
    </row>
  </sheetData>
  <mergeCells count="28">
    <mergeCell ref="C35:D35"/>
    <mergeCell ref="F35:G35"/>
    <mergeCell ref="C36:D36"/>
    <mergeCell ref="F36:G36"/>
    <mergeCell ref="C32:D32"/>
    <mergeCell ref="F32:G32"/>
    <mergeCell ref="C33:D33"/>
    <mergeCell ref="F33:G33"/>
    <mergeCell ref="C34:D34"/>
    <mergeCell ref="F34:G34"/>
    <mergeCell ref="C29:D29"/>
    <mergeCell ref="F29:G29"/>
    <mergeCell ref="C30:D30"/>
    <mergeCell ref="F30:G30"/>
    <mergeCell ref="C31:D31"/>
    <mergeCell ref="F31:G31"/>
    <mergeCell ref="C26:D26"/>
    <mergeCell ref="F26:G26"/>
    <mergeCell ref="C27:D27"/>
    <mergeCell ref="F27:G27"/>
    <mergeCell ref="C28:D28"/>
    <mergeCell ref="F28:G28"/>
    <mergeCell ref="A23:H23"/>
    <mergeCell ref="I23:N23"/>
    <mergeCell ref="C24:D24"/>
    <mergeCell ref="F24:G24"/>
    <mergeCell ref="C25:D25"/>
    <mergeCell ref="F25:G25"/>
  </mergeCells>
  <pageMargins left="0" right="0" top="0.74803149606299213" bottom="0.74803149606299213" header="0.31496062992125984" footer="0.31496062992125984"/>
  <pageSetup paperSize="8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E879E-4A70-4123-80F0-872CC9A46CDD}">
  <dimension ref="A1:S8"/>
  <sheetViews>
    <sheetView workbookViewId="0">
      <selection activeCell="J13" sqref="J13"/>
    </sheetView>
  </sheetViews>
  <sheetFormatPr defaultRowHeight="14.4" x14ac:dyDescent="0.3"/>
  <cols>
    <col min="2" max="2" width="12.88671875" customWidth="1"/>
    <col min="3" max="3" width="13" customWidth="1"/>
    <col min="4" max="4" width="21.77734375" customWidth="1"/>
    <col min="5" max="5" width="18" customWidth="1"/>
    <col min="6" max="6" width="4.44140625" customWidth="1"/>
    <col min="7" max="7" width="6" customWidth="1"/>
    <col min="8" max="8" width="6.33203125" customWidth="1"/>
    <col min="11" max="11" width="7.109375" customWidth="1"/>
    <col min="12" max="12" width="4.109375" customWidth="1"/>
    <col min="13" max="13" width="4.44140625" customWidth="1"/>
    <col min="14" max="14" width="5.109375" customWidth="1"/>
    <col min="16" max="16" width="14.44140625" customWidth="1"/>
  </cols>
  <sheetData>
    <row r="1" spans="1:19" x14ac:dyDescent="0.3">
      <c r="A1" s="21" t="s">
        <v>782</v>
      </c>
    </row>
    <row r="5" spans="1:19" ht="43.2" x14ac:dyDescent="0.3">
      <c r="A5" s="17" t="s">
        <v>137</v>
      </c>
      <c r="B5" s="23" t="s">
        <v>138</v>
      </c>
      <c r="C5" s="23" t="s">
        <v>139</v>
      </c>
      <c r="D5" s="23" t="s">
        <v>140</v>
      </c>
      <c r="E5" s="23" t="s">
        <v>141</v>
      </c>
      <c r="F5" s="23" t="s">
        <v>142</v>
      </c>
      <c r="G5" s="23" t="s">
        <v>143</v>
      </c>
      <c r="H5" s="23" t="s">
        <v>144</v>
      </c>
      <c r="I5" s="23" t="s">
        <v>145</v>
      </c>
      <c r="J5" s="23" t="s">
        <v>146</v>
      </c>
      <c r="K5" s="23" t="s">
        <v>147</v>
      </c>
      <c r="L5" s="23" t="s">
        <v>148</v>
      </c>
      <c r="M5" s="23" t="s">
        <v>149</v>
      </c>
      <c r="N5" s="23" t="s">
        <v>150</v>
      </c>
      <c r="O5" s="23" t="s">
        <v>151</v>
      </c>
      <c r="P5" s="23" t="s">
        <v>152</v>
      </c>
      <c r="Q5" s="23" t="s">
        <v>153</v>
      </c>
      <c r="R5" s="23" t="s">
        <v>154</v>
      </c>
      <c r="S5" s="23" t="s">
        <v>221</v>
      </c>
    </row>
    <row r="6" spans="1:19" ht="72" x14ac:dyDescent="0.3">
      <c r="A6" s="17">
        <v>1</v>
      </c>
      <c r="B6" s="17" t="s">
        <v>783</v>
      </c>
      <c r="C6" s="17" t="s">
        <v>156</v>
      </c>
      <c r="D6" s="17" t="s">
        <v>784</v>
      </c>
      <c r="E6" s="23" t="s">
        <v>785</v>
      </c>
      <c r="F6" s="17">
        <v>103</v>
      </c>
      <c r="G6" s="17">
        <v>1997</v>
      </c>
      <c r="H6" s="17">
        <v>5</v>
      </c>
      <c r="I6" s="17"/>
      <c r="J6" s="18">
        <v>31055</v>
      </c>
      <c r="K6" s="17">
        <v>2013</v>
      </c>
      <c r="L6" s="17" t="s">
        <v>159</v>
      </c>
      <c r="M6" s="17" t="s">
        <v>159</v>
      </c>
      <c r="N6" s="17" t="s">
        <v>159</v>
      </c>
      <c r="O6" s="80">
        <v>0.01</v>
      </c>
      <c r="P6" s="23" t="s">
        <v>793</v>
      </c>
      <c r="Q6" s="17" t="s">
        <v>159</v>
      </c>
      <c r="R6" s="17" t="s">
        <v>792</v>
      </c>
      <c r="S6" s="17" t="s">
        <v>160</v>
      </c>
    </row>
    <row r="7" spans="1:19" ht="72" x14ac:dyDescent="0.3">
      <c r="A7" s="17">
        <v>2</v>
      </c>
      <c r="B7" s="17" t="s">
        <v>786</v>
      </c>
      <c r="C7" s="23" t="s">
        <v>156</v>
      </c>
      <c r="D7" s="17" t="s">
        <v>787</v>
      </c>
      <c r="E7" s="23" t="s">
        <v>788</v>
      </c>
      <c r="F7" s="17">
        <v>63</v>
      </c>
      <c r="G7" s="17">
        <v>1248</v>
      </c>
      <c r="H7" s="17">
        <v>5</v>
      </c>
      <c r="I7" s="17"/>
      <c r="J7" s="18">
        <v>14690</v>
      </c>
      <c r="K7" s="17">
        <v>2016</v>
      </c>
      <c r="L7" s="17" t="s">
        <v>159</v>
      </c>
      <c r="M7" s="17" t="s">
        <v>159</v>
      </c>
      <c r="N7" s="17" t="s">
        <v>159</v>
      </c>
      <c r="O7" s="80">
        <v>0.01</v>
      </c>
      <c r="P7" s="23" t="s">
        <v>793</v>
      </c>
      <c r="Q7" s="17" t="s">
        <v>159</v>
      </c>
      <c r="R7" s="17" t="s">
        <v>160</v>
      </c>
      <c r="S7" s="17" t="s">
        <v>160</v>
      </c>
    </row>
    <row r="8" spans="1:19" ht="72" x14ac:dyDescent="0.3">
      <c r="A8" s="17">
        <v>3</v>
      </c>
      <c r="B8" s="17" t="s">
        <v>789</v>
      </c>
      <c r="C8" s="23" t="s">
        <v>252</v>
      </c>
      <c r="D8" s="17" t="s">
        <v>790</v>
      </c>
      <c r="E8" s="23" t="s">
        <v>791</v>
      </c>
      <c r="F8" s="17">
        <v>66</v>
      </c>
      <c r="G8" s="17">
        <v>1560</v>
      </c>
      <c r="H8" s="17">
        <v>3</v>
      </c>
      <c r="I8" s="17">
        <v>636</v>
      </c>
      <c r="J8" s="18">
        <v>16717.66</v>
      </c>
      <c r="K8" s="17">
        <v>2016</v>
      </c>
      <c r="L8" s="17" t="s">
        <v>159</v>
      </c>
      <c r="M8" s="17" t="s">
        <v>159</v>
      </c>
      <c r="N8" s="17" t="s">
        <v>159</v>
      </c>
      <c r="O8" s="80">
        <v>0.01</v>
      </c>
      <c r="P8" s="23" t="s">
        <v>793</v>
      </c>
      <c r="Q8" s="17" t="s">
        <v>159</v>
      </c>
      <c r="R8" s="17" t="s">
        <v>160</v>
      </c>
      <c r="S8" s="17" t="s">
        <v>160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CC058-E484-4A47-A145-8CCD42CEDFAA}">
  <dimension ref="A1:R14"/>
  <sheetViews>
    <sheetView topLeftCell="A10" workbookViewId="0">
      <selection activeCell="K22" sqref="K22"/>
    </sheetView>
  </sheetViews>
  <sheetFormatPr defaultRowHeight="14.4" x14ac:dyDescent="0.3"/>
  <cols>
    <col min="1" max="1" width="7.5546875" customWidth="1"/>
    <col min="2" max="2" width="10.77734375" customWidth="1"/>
    <col min="3" max="3" width="8.5546875" customWidth="1"/>
    <col min="4" max="4" width="19.77734375" customWidth="1"/>
    <col min="5" max="5" width="24.44140625" customWidth="1"/>
    <col min="6" max="6" width="5" customWidth="1"/>
    <col min="7" max="7" width="6.77734375" customWidth="1"/>
    <col min="8" max="8" width="9" customWidth="1"/>
    <col min="10" max="10" width="9.77734375" customWidth="1"/>
    <col min="12" max="12" width="5.88671875" customWidth="1"/>
    <col min="13" max="13" width="5.77734375" customWidth="1"/>
    <col min="14" max="14" width="5.6640625" customWidth="1"/>
    <col min="16" max="16" width="15.88671875" customWidth="1"/>
    <col min="17" max="17" width="7.88671875" customWidth="1"/>
    <col min="18" max="18" width="5.44140625" customWidth="1"/>
  </cols>
  <sheetData>
    <row r="1" spans="1:18" x14ac:dyDescent="0.3">
      <c r="A1" s="21" t="s">
        <v>136</v>
      </c>
    </row>
    <row r="2" spans="1:18" ht="57.6" x14ac:dyDescent="0.3">
      <c r="A2" s="17" t="s">
        <v>137</v>
      </c>
      <c r="B2" s="23" t="s">
        <v>138</v>
      </c>
      <c r="C2" s="23" t="s">
        <v>139</v>
      </c>
      <c r="D2" s="23" t="s">
        <v>140</v>
      </c>
      <c r="E2" s="23" t="s">
        <v>141</v>
      </c>
      <c r="F2" s="23" t="s">
        <v>142</v>
      </c>
      <c r="G2" s="23" t="s">
        <v>143</v>
      </c>
      <c r="H2" s="23" t="s">
        <v>144</v>
      </c>
      <c r="I2" s="23" t="s">
        <v>145</v>
      </c>
      <c r="J2" s="23" t="s">
        <v>146</v>
      </c>
      <c r="K2" s="23" t="s">
        <v>147</v>
      </c>
      <c r="L2" s="23" t="s">
        <v>148</v>
      </c>
      <c r="M2" s="23" t="s">
        <v>149</v>
      </c>
      <c r="N2" s="23" t="s">
        <v>150</v>
      </c>
      <c r="O2" s="23" t="s">
        <v>151</v>
      </c>
      <c r="P2" s="23" t="s">
        <v>152</v>
      </c>
      <c r="Q2" s="23" t="s">
        <v>153</v>
      </c>
      <c r="R2" s="23" t="s">
        <v>154</v>
      </c>
    </row>
    <row r="3" spans="1:18" x14ac:dyDescent="0.3">
      <c r="A3" s="17">
        <v>1</v>
      </c>
      <c r="B3" s="23" t="s">
        <v>155</v>
      </c>
      <c r="C3" s="23" t="s">
        <v>156</v>
      </c>
      <c r="D3" s="23" t="s">
        <v>157</v>
      </c>
      <c r="E3" s="23" t="s">
        <v>158</v>
      </c>
      <c r="F3" s="23">
        <v>136</v>
      </c>
      <c r="G3" s="23">
        <v>3950</v>
      </c>
      <c r="H3" s="23">
        <v>5</v>
      </c>
      <c r="I3" s="23"/>
      <c r="J3" s="23"/>
      <c r="K3" s="23">
        <v>1998</v>
      </c>
      <c r="L3" s="23" t="s">
        <v>159</v>
      </c>
      <c r="M3" s="23" t="s">
        <v>159</v>
      </c>
      <c r="N3" s="23" t="s">
        <v>160</v>
      </c>
      <c r="O3" s="23" t="s">
        <v>160</v>
      </c>
      <c r="P3" s="23" t="s">
        <v>160</v>
      </c>
      <c r="Q3" s="23" t="s">
        <v>159</v>
      </c>
      <c r="R3" s="23" t="s">
        <v>159</v>
      </c>
    </row>
    <row r="4" spans="1:18" ht="86.4" x14ac:dyDescent="0.3">
      <c r="A4" s="17">
        <v>2</v>
      </c>
      <c r="B4" s="23" t="s">
        <v>161</v>
      </c>
      <c r="C4" s="23" t="s">
        <v>156</v>
      </c>
      <c r="D4" s="23" t="s">
        <v>162</v>
      </c>
      <c r="E4" s="23" t="s">
        <v>163</v>
      </c>
      <c r="F4" s="23">
        <v>51</v>
      </c>
      <c r="G4" s="23">
        <v>1242</v>
      </c>
      <c r="H4" s="23">
        <v>4</v>
      </c>
      <c r="I4" s="23"/>
      <c r="J4" s="78">
        <v>9480</v>
      </c>
      <c r="K4" s="23">
        <v>2017</v>
      </c>
      <c r="L4" s="23" t="s">
        <v>159</v>
      </c>
      <c r="M4" s="23" t="s">
        <v>159</v>
      </c>
      <c r="N4" s="23" t="s">
        <v>159</v>
      </c>
      <c r="O4" s="23" t="s">
        <v>160</v>
      </c>
      <c r="P4" s="23" t="s">
        <v>164</v>
      </c>
      <c r="Q4" s="23" t="s">
        <v>159</v>
      </c>
      <c r="R4" s="23" t="s">
        <v>159</v>
      </c>
    </row>
    <row r="5" spans="1:18" ht="86.4" x14ac:dyDescent="0.3">
      <c r="A5" s="17">
        <v>3</v>
      </c>
      <c r="B5" s="23" t="s">
        <v>165</v>
      </c>
      <c r="C5" s="23" t="s">
        <v>156</v>
      </c>
      <c r="D5" s="23" t="s">
        <v>166</v>
      </c>
      <c r="E5" s="23" t="s">
        <v>163</v>
      </c>
      <c r="F5" s="23">
        <v>51</v>
      </c>
      <c r="G5" s="23">
        <v>1242</v>
      </c>
      <c r="H5" s="23">
        <v>4</v>
      </c>
      <c r="I5" s="23"/>
      <c r="J5" s="78">
        <v>9480</v>
      </c>
      <c r="K5" s="23">
        <v>2017</v>
      </c>
      <c r="L5" s="23" t="s">
        <v>159</v>
      </c>
      <c r="M5" s="23" t="s">
        <v>159</v>
      </c>
      <c r="N5" s="23" t="s">
        <v>159</v>
      </c>
      <c r="O5" s="23" t="s">
        <v>160</v>
      </c>
      <c r="P5" s="23" t="s">
        <v>164</v>
      </c>
      <c r="Q5" s="23" t="s">
        <v>159</v>
      </c>
      <c r="R5" s="23" t="s">
        <v>159</v>
      </c>
    </row>
    <row r="6" spans="1:18" ht="86.4" x14ac:dyDescent="0.3">
      <c r="A6" s="17">
        <v>4</v>
      </c>
      <c r="B6" s="23" t="s">
        <v>167</v>
      </c>
      <c r="C6" s="23" t="s">
        <v>156</v>
      </c>
      <c r="D6" s="23" t="s">
        <v>168</v>
      </c>
      <c r="E6" s="23" t="s">
        <v>169</v>
      </c>
      <c r="F6" s="23">
        <v>136</v>
      </c>
      <c r="G6" s="23">
        <v>1995</v>
      </c>
      <c r="H6" s="23">
        <v>5</v>
      </c>
      <c r="I6" s="23"/>
      <c r="J6" s="78">
        <v>42580</v>
      </c>
      <c r="K6" s="23">
        <v>2017</v>
      </c>
      <c r="L6" s="23" t="s">
        <v>159</v>
      </c>
      <c r="M6" s="23" t="s">
        <v>159</v>
      </c>
      <c r="N6" s="23" t="s">
        <v>159</v>
      </c>
      <c r="O6" s="23" t="s">
        <v>160</v>
      </c>
      <c r="P6" s="23" t="s">
        <v>164</v>
      </c>
      <c r="Q6" s="23" t="s">
        <v>159</v>
      </c>
      <c r="R6" s="23" t="s">
        <v>159</v>
      </c>
    </row>
    <row r="7" spans="1:18" ht="86.4" x14ac:dyDescent="0.3">
      <c r="A7" s="17">
        <v>5</v>
      </c>
      <c r="B7" s="79" t="s">
        <v>170</v>
      </c>
      <c r="C7" s="17" t="s">
        <v>156</v>
      </c>
      <c r="D7" s="17" t="s">
        <v>171</v>
      </c>
      <c r="E7" s="23" t="s">
        <v>172</v>
      </c>
      <c r="F7" s="17">
        <v>110</v>
      </c>
      <c r="G7" s="17">
        <v>1968</v>
      </c>
      <c r="H7" s="17">
        <v>5</v>
      </c>
      <c r="I7" s="17"/>
      <c r="J7" s="18">
        <v>22399</v>
      </c>
      <c r="K7" s="17">
        <v>2013</v>
      </c>
      <c r="L7" s="17" t="s">
        <v>159</v>
      </c>
      <c r="M7" s="17" t="s">
        <v>159</v>
      </c>
      <c r="N7" s="17" t="s">
        <v>159</v>
      </c>
      <c r="O7" s="80" t="s">
        <v>160</v>
      </c>
      <c r="P7" s="23" t="s">
        <v>164</v>
      </c>
      <c r="Q7" s="17" t="s">
        <v>159</v>
      </c>
      <c r="R7" s="17" t="s">
        <v>159</v>
      </c>
    </row>
    <row r="8" spans="1:18" ht="86.4" x14ac:dyDescent="0.3">
      <c r="A8" s="17">
        <v>6</v>
      </c>
      <c r="B8" s="79" t="s">
        <v>173</v>
      </c>
      <c r="C8" s="17" t="s">
        <v>156</v>
      </c>
      <c r="D8" s="17" t="s">
        <v>174</v>
      </c>
      <c r="E8" s="23" t="s">
        <v>175</v>
      </c>
      <c r="F8" s="17">
        <v>162</v>
      </c>
      <c r="G8" s="17">
        <v>1984</v>
      </c>
      <c r="H8" s="17">
        <v>5</v>
      </c>
      <c r="I8" s="17"/>
      <c r="J8" s="18">
        <v>40710</v>
      </c>
      <c r="K8" s="17">
        <v>2016</v>
      </c>
      <c r="L8" s="17" t="s">
        <v>159</v>
      </c>
      <c r="M8" s="17" t="s">
        <v>159</v>
      </c>
      <c r="N8" s="17" t="s">
        <v>159</v>
      </c>
      <c r="O8" s="80" t="s">
        <v>160</v>
      </c>
      <c r="P8" s="23" t="s">
        <v>164</v>
      </c>
      <c r="Q8" s="17" t="s">
        <v>159</v>
      </c>
      <c r="R8" s="17" t="s">
        <v>159</v>
      </c>
    </row>
    <row r="9" spans="1:18" ht="28.8" x14ac:dyDescent="0.3">
      <c r="A9" s="17">
        <v>7</v>
      </c>
      <c r="B9" s="79" t="s">
        <v>176</v>
      </c>
      <c r="C9" s="17" t="s">
        <v>156</v>
      </c>
      <c r="D9" s="17" t="s">
        <v>177</v>
      </c>
      <c r="E9" s="23" t="s">
        <v>178</v>
      </c>
      <c r="F9" s="17">
        <v>75</v>
      </c>
      <c r="G9" s="17">
        <v>1595</v>
      </c>
      <c r="H9" s="17">
        <v>5</v>
      </c>
      <c r="I9" s="17"/>
      <c r="J9" s="18"/>
      <c r="K9" s="17">
        <v>2005</v>
      </c>
      <c r="L9" s="17" t="s">
        <v>159</v>
      </c>
      <c r="M9" s="17" t="s">
        <v>159</v>
      </c>
      <c r="N9" s="17" t="s">
        <v>160</v>
      </c>
      <c r="O9" s="80" t="s">
        <v>160</v>
      </c>
      <c r="P9" s="23" t="s">
        <v>160</v>
      </c>
      <c r="Q9" s="17" t="s">
        <v>159</v>
      </c>
      <c r="R9" s="17" t="s">
        <v>159</v>
      </c>
    </row>
    <row r="10" spans="1:18" x14ac:dyDescent="0.3">
      <c r="B10" s="81"/>
      <c r="E10" s="56"/>
      <c r="J10" s="26"/>
      <c r="O10" s="82"/>
      <c r="P10" s="56"/>
    </row>
    <row r="11" spans="1:18" x14ac:dyDescent="0.3">
      <c r="A11" s="21" t="s">
        <v>2287</v>
      </c>
    </row>
    <row r="12" spans="1:18" s="86" customFormat="1" ht="28.8" x14ac:dyDescent="0.3">
      <c r="A12" s="83">
        <v>1</v>
      </c>
      <c r="B12" s="83" t="s">
        <v>179</v>
      </c>
      <c r="C12" s="83" t="s">
        <v>156</v>
      </c>
      <c r="D12" s="83" t="s">
        <v>180</v>
      </c>
      <c r="E12" s="84" t="s">
        <v>181</v>
      </c>
      <c r="F12" s="83">
        <v>40</v>
      </c>
      <c r="G12" s="83">
        <v>1108</v>
      </c>
      <c r="H12" s="83">
        <v>5</v>
      </c>
      <c r="I12" s="83"/>
      <c r="J12" s="85">
        <v>7352</v>
      </c>
      <c r="K12" s="83">
        <v>1995</v>
      </c>
      <c r="L12" s="83" t="s">
        <v>159</v>
      </c>
      <c r="M12" s="83" t="s">
        <v>159</v>
      </c>
      <c r="N12" s="83" t="s">
        <v>160</v>
      </c>
      <c r="O12" s="83" t="s">
        <v>160</v>
      </c>
      <c r="P12" s="84" t="s">
        <v>160</v>
      </c>
      <c r="Q12" s="83" t="s">
        <v>159</v>
      </c>
      <c r="R12" s="83" t="s">
        <v>159</v>
      </c>
    </row>
    <row r="13" spans="1:18" s="86" customFormat="1" x14ac:dyDescent="0.3">
      <c r="A13" s="84">
        <v>2</v>
      </c>
      <c r="B13" s="84" t="s">
        <v>182</v>
      </c>
      <c r="C13" s="84" t="s">
        <v>156</v>
      </c>
      <c r="D13" s="84" t="s">
        <v>183</v>
      </c>
      <c r="E13" s="84" t="s">
        <v>184</v>
      </c>
      <c r="F13" s="84">
        <v>55</v>
      </c>
      <c r="G13" s="84">
        <v>1390</v>
      </c>
      <c r="H13" s="84">
        <v>5</v>
      </c>
      <c r="I13" s="84"/>
      <c r="J13" s="85">
        <v>9979</v>
      </c>
      <c r="K13" s="84">
        <v>1997</v>
      </c>
      <c r="L13" s="84" t="s">
        <v>159</v>
      </c>
      <c r="M13" s="84" t="s">
        <v>159</v>
      </c>
      <c r="N13" s="84" t="s">
        <v>160</v>
      </c>
      <c r="O13" s="84" t="s">
        <v>160</v>
      </c>
      <c r="P13" s="84" t="s">
        <v>160</v>
      </c>
      <c r="Q13" s="84" t="s">
        <v>159</v>
      </c>
      <c r="R13" s="84" t="s">
        <v>159</v>
      </c>
    </row>
    <row r="14" spans="1:18" s="86" customFormat="1" ht="86.4" x14ac:dyDescent="0.3">
      <c r="A14" s="83">
        <v>3</v>
      </c>
      <c r="B14" s="83" t="s">
        <v>185</v>
      </c>
      <c r="C14" s="83" t="s">
        <v>156</v>
      </c>
      <c r="D14" s="83" t="s">
        <v>186</v>
      </c>
      <c r="E14" s="84" t="s">
        <v>187</v>
      </c>
      <c r="F14" s="83">
        <v>66</v>
      </c>
      <c r="G14" s="83">
        <v>1560</v>
      </c>
      <c r="H14" s="83">
        <v>5</v>
      </c>
      <c r="I14" s="83"/>
      <c r="J14" s="85">
        <v>16860</v>
      </c>
      <c r="K14" s="83">
        <v>2009</v>
      </c>
      <c r="L14" s="83" t="s">
        <v>159</v>
      </c>
      <c r="M14" s="83" t="s">
        <v>159</v>
      </c>
      <c r="N14" s="83" t="s">
        <v>159</v>
      </c>
      <c r="O14" s="87" t="s">
        <v>160</v>
      </c>
      <c r="P14" s="84" t="s">
        <v>164</v>
      </c>
      <c r="Q14" s="83" t="s">
        <v>159</v>
      </c>
      <c r="R14" s="83" t="s">
        <v>159</v>
      </c>
    </row>
  </sheetData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E5B2E-4A69-4BAD-ABB7-893BA507D37E}">
  <dimension ref="A1:N103"/>
  <sheetViews>
    <sheetView topLeftCell="A34" workbookViewId="0">
      <selection activeCell="J77" sqref="J77"/>
    </sheetView>
  </sheetViews>
  <sheetFormatPr defaultRowHeight="14.4" x14ac:dyDescent="0.3"/>
  <cols>
    <col min="1" max="1" width="7.44140625" customWidth="1"/>
    <col min="2" max="2" width="35.5546875" customWidth="1"/>
    <col min="3" max="3" width="15" customWidth="1"/>
    <col min="4" max="4" width="15.5546875" customWidth="1"/>
    <col min="5" max="5" width="24.88671875" customWidth="1"/>
    <col min="6" max="6" width="15.88671875" customWidth="1"/>
    <col min="7" max="7" width="12.88671875" customWidth="1"/>
    <col min="8" max="8" width="10.33203125" customWidth="1"/>
    <col min="9" max="9" width="16" customWidth="1"/>
    <col min="10" max="10" width="14.5546875" customWidth="1"/>
    <col min="11" max="11" width="34.109375" customWidth="1"/>
    <col min="12" max="12" width="0.109375" customWidth="1"/>
    <col min="13" max="13" width="9.109375" hidden="1" customWidth="1"/>
    <col min="14" max="14" width="28.33203125" customWidth="1"/>
  </cols>
  <sheetData>
    <row r="1" spans="1:10" x14ac:dyDescent="0.3">
      <c r="A1" s="760"/>
      <c r="B1" s="760" t="s">
        <v>2288</v>
      </c>
    </row>
    <row r="4" spans="1:10" s="763" customFormat="1" ht="60.6" customHeight="1" x14ac:dyDescent="0.3">
      <c r="A4" s="761" t="s">
        <v>189</v>
      </c>
      <c r="B4" s="762" t="s">
        <v>2166</v>
      </c>
      <c r="C4" s="761" t="s">
        <v>199</v>
      </c>
      <c r="D4" s="762" t="s">
        <v>200</v>
      </c>
      <c r="E4" s="762" t="s">
        <v>201</v>
      </c>
      <c r="F4" s="762" t="s">
        <v>202</v>
      </c>
      <c r="G4" s="762" t="s">
        <v>53</v>
      </c>
      <c r="H4" s="762" t="s">
        <v>203</v>
      </c>
      <c r="I4" s="762" t="s">
        <v>2167</v>
      </c>
      <c r="J4" s="762" t="s">
        <v>2168</v>
      </c>
    </row>
    <row r="5" spans="1:10" s="119" customFormat="1" x14ac:dyDescent="0.3">
      <c r="A5" s="764" t="s">
        <v>891</v>
      </c>
      <c r="B5" s="903" t="s">
        <v>2169</v>
      </c>
      <c r="C5" s="904"/>
      <c r="D5" s="904"/>
      <c r="E5" s="904"/>
      <c r="F5" s="904"/>
      <c r="G5" s="904"/>
      <c r="H5" s="904"/>
      <c r="I5" s="904"/>
      <c r="J5" s="904"/>
    </row>
    <row r="6" spans="1:10" ht="65.099999999999994" customHeight="1" x14ac:dyDescent="0.3">
      <c r="A6" s="765"/>
      <c r="B6" s="766" t="s">
        <v>2170</v>
      </c>
      <c r="C6" s="766">
        <v>1948</v>
      </c>
      <c r="D6" s="766" t="s">
        <v>2171</v>
      </c>
      <c r="E6" s="767" t="s">
        <v>2172</v>
      </c>
      <c r="F6" s="766"/>
      <c r="G6" s="766"/>
      <c r="H6" s="766">
        <v>3</v>
      </c>
      <c r="I6" s="768">
        <v>1395000</v>
      </c>
      <c r="J6" s="768">
        <v>90000</v>
      </c>
    </row>
    <row r="7" spans="1:10" ht="28.8" x14ac:dyDescent="0.3">
      <c r="A7" s="765"/>
      <c r="B7" s="767" t="s">
        <v>2173</v>
      </c>
      <c r="C7" s="766"/>
      <c r="D7" s="766"/>
      <c r="E7" s="766"/>
      <c r="F7" s="766" t="s">
        <v>401</v>
      </c>
      <c r="G7" s="766"/>
      <c r="H7" s="766">
        <v>1</v>
      </c>
      <c r="I7" s="768">
        <v>225000</v>
      </c>
      <c r="J7" s="766"/>
    </row>
    <row r="8" spans="1:10" x14ac:dyDescent="0.3">
      <c r="A8" s="766"/>
      <c r="B8" s="766" t="s">
        <v>2174</v>
      </c>
      <c r="C8" s="766"/>
      <c r="D8" s="766"/>
      <c r="E8" s="766"/>
      <c r="F8" s="766" t="s">
        <v>401</v>
      </c>
      <c r="G8" s="766"/>
      <c r="H8" s="766">
        <v>1</v>
      </c>
      <c r="I8" s="768">
        <v>190000</v>
      </c>
      <c r="J8" s="766"/>
    </row>
    <row r="9" spans="1:10" x14ac:dyDescent="0.3">
      <c r="A9" s="766"/>
      <c r="B9" s="766" t="s">
        <v>2175</v>
      </c>
      <c r="C9" s="766"/>
      <c r="D9" s="766"/>
      <c r="E9" s="766"/>
      <c r="F9" s="766" t="s">
        <v>401</v>
      </c>
      <c r="G9" s="766"/>
      <c r="H9" s="766"/>
      <c r="I9" s="768">
        <v>7000</v>
      </c>
      <c r="J9" s="766"/>
    </row>
    <row r="10" spans="1:10" x14ac:dyDescent="0.3">
      <c r="A10" s="766"/>
      <c r="B10" s="766" t="s">
        <v>2176</v>
      </c>
      <c r="C10" s="766"/>
      <c r="D10" s="766"/>
      <c r="E10" s="766"/>
      <c r="F10" s="766" t="s">
        <v>401</v>
      </c>
      <c r="G10" s="766"/>
      <c r="H10" s="766"/>
      <c r="I10" s="768">
        <v>7000</v>
      </c>
      <c r="J10" s="766"/>
    </row>
    <row r="11" spans="1:10" x14ac:dyDescent="0.3">
      <c r="A11" s="766"/>
      <c r="B11" s="766" t="s">
        <v>2177</v>
      </c>
      <c r="C11" s="766"/>
      <c r="D11" s="766"/>
      <c r="E11" s="766"/>
      <c r="F11" s="766" t="s">
        <v>401</v>
      </c>
      <c r="G11" s="766"/>
      <c r="H11" s="766"/>
      <c r="I11" s="768">
        <v>7000</v>
      </c>
      <c r="J11" s="766"/>
    </row>
    <row r="12" spans="1:10" s="119" customFormat="1" x14ac:dyDescent="0.3">
      <c r="A12" s="769" t="s">
        <v>2178</v>
      </c>
      <c r="B12" s="884" t="s">
        <v>2179</v>
      </c>
      <c r="C12" s="895"/>
      <c r="D12" s="895"/>
      <c r="E12" s="895"/>
      <c r="F12" s="895"/>
      <c r="G12" s="895"/>
      <c r="H12" s="895"/>
      <c r="I12" s="895"/>
      <c r="J12" s="895"/>
    </row>
    <row r="13" spans="1:10" ht="43.2" x14ac:dyDescent="0.3">
      <c r="A13" s="771"/>
      <c r="B13" s="23" t="s">
        <v>2180</v>
      </c>
      <c r="C13" s="17">
        <v>1859</v>
      </c>
      <c r="D13" s="17">
        <v>2009</v>
      </c>
      <c r="E13" s="23" t="s">
        <v>2181</v>
      </c>
      <c r="F13" s="18" t="s">
        <v>2182</v>
      </c>
      <c r="G13" s="17" t="s">
        <v>2183</v>
      </c>
      <c r="H13" s="17">
        <v>2</v>
      </c>
      <c r="I13" s="18">
        <v>571200</v>
      </c>
      <c r="J13" s="18">
        <v>10000</v>
      </c>
    </row>
    <row r="14" spans="1:10" x14ac:dyDescent="0.3">
      <c r="A14" s="771"/>
      <c r="B14" s="23" t="s">
        <v>2184</v>
      </c>
      <c r="C14" s="17">
        <v>1975</v>
      </c>
      <c r="D14" s="17">
        <v>2013</v>
      </c>
      <c r="E14" s="23" t="s">
        <v>2185</v>
      </c>
      <c r="F14" s="17" t="s">
        <v>2186</v>
      </c>
      <c r="G14" s="17" t="s">
        <v>2187</v>
      </c>
      <c r="H14" s="17">
        <v>1</v>
      </c>
      <c r="I14" s="18">
        <v>180000</v>
      </c>
      <c r="J14" s="18">
        <v>2000</v>
      </c>
    </row>
    <row r="15" spans="1:10" x14ac:dyDescent="0.3">
      <c r="A15" s="771"/>
      <c r="B15" s="23" t="s">
        <v>2188</v>
      </c>
      <c r="C15" s="17">
        <v>2014</v>
      </c>
      <c r="D15" s="17"/>
      <c r="E15" s="23"/>
      <c r="F15" s="17" t="s">
        <v>2182</v>
      </c>
      <c r="G15" s="17" t="s">
        <v>2189</v>
      </c>
      <c r="H15" s="17">
        <v>1</v>
      </c>
      <c r="I15" s="18">
        <v>120000</v>
      </c>
      <c r="J15" s="73">
        <v>2000</v>
      </c>
    </row>
    <row r="16" spans="1:10" s="119" customFormat="1" x14ac:dyDescent="0.3">
      <c r="A16" s="769" t="s">
        <v>2190</v>
      </c>
      <c r="B16" s="884" t="s">
        <v>2191</v>
      </c>
      <c r="C16" s="895"/>
      <c r="D16" s="895"/>
      <c r="E16" s="895"/>
      <c r="F16" s="895"/>
      <c r="G16" s="895"/>
      <c r="H16" s="895"/>
      <c r="I16" s="895"/>
      <c r="J16" s="895"/>
    </row>
    <row r="17" spans="1:11" ht="102.6" customHeight="1" x14ac:dyDescent="0.3">
      <c r="A17" s="772"/>
      <c r="B17" s="23" t="s">
        <v>2192</v>
      </c>
      <c r="C17" s="17">
        <v>1935</v>
      </c>
      <c r="D17" s="17">
        <v>1995</v>
      </c>
      <c r="E17" s="23" t="s">
        <v>2193</v>
      </c>
      <c r="F17" s="18" t="s">
        <v>2194</v>
      </c>
      <c r="G17" s="17" t="s">
        <v>2195</v>
      </c>
      <c r="H17" s="17">
        <v>2</v>
      </c>
      <c r="I17" s="18">
        <v>252000</v>
      </c>
      <c r="J17" s="773">
        <v>70000</v>
      </c>
    </row>
    <row r="18" spans="1:11" ht="102.6" customHeight="1" x14ac:dyDescent="0.3">
      <c r="A18" s="803"/>
      <c r="B18" s="136" t="s">
        <v>2353</v>
      </c>
      <c r="C18" s="135"/>
      <c r="D18" s="135"/>
      <c r="E18" s="136"/>
      <c r="F18" s="18"/>
      <c r="G18" s="135"/>
      <c r="H18" s="135"/>
      <c r="I18" s="625">
        <v>10000</v>
      </c>
      <c r="J18" s="774"/>
    </row>
    <row r="19" spans="1:11" s="862" customFormat="1" ht="28.2" customHeight="1" x14ac:dyDescent="0.3">
      <c r="A19" s="855"/>
      <c r="B19" s="856" t="s">
        <v>2196</v>
      </c>
      <c r="C19" s="857"/>
      <c r="D19" s="857"/>
      <c r="E19" s="856"/>
      <c r="F19" s="858" t="s">
        <v>2194</v>
      </c>
      <c r="G19" s="857" t="s">
        <v>2197</v>
      </c>
      <c r="H19" s="857">
        <v>1</v>
      </c>
      <c r="I19" s="859">
        <v>40000</v>
      </c>
      <c r="J19" s="860"/>
      <c r="K19" s="861" t="s">
        <v>2344</v>
      </c>
    </row>
    <row r="20" spans="1:11" s="862" customFormat="1" ht="14.1" customHeight="1" x14ac:dyDescent="0.3">
      <c r="A20" s="863"/>
      <c r="B20" s="864" t="s">
        <v>2198</v>
      </c>
      <c r="C20" s="865">
        <v>2005</v>
      </c>
      <c r="D20" s="865"/>
      <c r="E20" s="864"/>
      <c r="F20" s="858" t="s">
        <v>2186</v>
      </c>
      <c r="G20" s="865" t="s">
        <v>2197</v>
      </c>
      <c r="H20" s="865"/>
      <c r="I20" s="858">
        <v>6000</v>
      </c>
      <c r="J20" s="866"/>
    </row>
    <row r="21" spans="1:11" s="862" customFormat="1" ht="14.1" customHeight="1" x14ac:dyDescent="0.3">
      <c r="A21" s="863"/>
      <c r="B21" s="864" t="s">
        <v>2289</v>
      </c>
      <c r="C21" s="865">
        <v>2005</v>
      </c>
      <c r="D21" s="865"/>
      <c r="E21" s="864"/>
      <c r="F21" s="858"/>
      <c r="G21" s="865"/>
      <c r="H21" s="865"/>
      <c r="I21" s="858">
        <v>20000</v>
      </c>
      <c r="J21" s="866"/>
    </row>
    <row r="22" spans="1:11" s="862" customFormat="1" ht="14.1" customHeight="1" x14ac:dyDescent="0.3">
      <c r="A22" s="863"/>
      <c r="B22" s="864" t="s">
        <v>2199</v>
      </c>
      <c r="C22" s="865">
        <v>2005</v>
      </c>
      <c r="D22" s="865"/>
      <c r="E22" s="864"/>
      <c r="F22" s="858" t="s">
        <v>2200</v>
      </c>
      <c r="G22" s="865" t="s">
        <v>2201</v>
      </c>
      <c r="H22" s="865"/>
      <c r="I22" s="858">
        <v>6000</v>
      </c>
      <c r="J22" s="866"/>
    </row>
    <row r="23" spans="1:11" ht="14.1" customHeight="1" x14ac:dyDescent="0.3">
      <c r="A23" s="803"/>
      <c r="B23" s="804" t="s">
        <v>2290</v>
      </c>
      <c r="C23" s="553">
        <v>2017</v>
      </c>
      <c r="D23" s="553"/>
      <c r="E23" s="805"/>
      <c r="F23" s="808" t="s">
        <v>2291</v>
      </c>
      <c r="G23" s="553"/>
      <c r="H23" s="553"/>
      <c r="I23" s="806">
        <v>6000</v>
      </c>
      <c r="J23" s="807"/>
    </row>
    <row r="24" spans="1:11" s="119" customFormat="1" x14ac:dyDescent="0.3">
      <c r="A24" s="769" t="s">
        <v>2202</v>
      </c>
      <c r="B24" s="892" t="s">
        <v>2203</v>
      </c>
      <c r="C24" s="893"/>
      <c r="D24" s="893"/>
      <c r="E24" s="893"/>
      <c r="F24" s="893"/>
      <c r="G24" s="893"/>
      <c r="H24" s="893"/>
      <c r="I24" s="893"/>
      <c r="J24" s="893"/>
    </row>
    <row r="25" spans="1:11" ht="43.2" x14ac:dyDescent="0.3">
      <c r="A25" s="771"/>
      <c r="B25" s="23" t="s">
        <v>2204</v>
      </c>
      <c r="C25" s="17">
        <v>1987</v>
      </c>
      <c r="D25" s="17"/>
      <c r="E25" s="23" t="s">
        <v>2205</v>
      </c>
      <c r="F25" s="18" t="s">
        <v>401</v>
      </c>
      <c r="G25" s="17">
        <v>220</v>
      </c>
      <c r="H25" s="17">
        <v>2</v>
      </c>
      <c r="I25" s="18">
        <v>200000</v>
      </c>
      <c r="J25" s="18">
        <v>10000</v>
      </c>
    </row>
    <row r="26" spans="1:11" x14ac:dyDescent="0.3">
      <c r="A26" s="771"/>
      <c r="B26" s="23" t="s">
        <v>2206</v>
      </c>
      <c r="C26" s="17">
        <v>2004</v>
      </c>
      <c r="D26" s="17"/>
      <c r="E26" s="23"/>
      <c r="F26" s="18" t="s">
        <v>401</v>
      </c>
      <c r="G26" s="17">
        <v>180</v>
      </c>
      <c r="H26" s="17">
        <v>2</v>
      </c>
      <c r="I26" s="18">
        <v>180000</v>
      </c>
      <c r="J26" s="18">
        <v>13450</v>
      </c>
    </row>
    <row r="27" spans="1:11" x14ac:dyDescent="0.3">
      <c r="A27" s="771"/>
      <c r="B27" s="23" t="s">
        <v>2207</v>
      </c>
      <c r="C27" s="17"/>
      <c r="D27" s="17"/>
      <c r="E27" s="23"/>
      <c r="F27" s="18" t="s">
        <v>401</v>
      </c>
      <c r="G27" s="17">
        <v>10</v>
      </c>
      <c r="H27" s="17">
        <v>1</v>
      </c>
      <c r="I27" s="542">
        <v>7500</v>
      </c>
      <c r="J27" s="17"/>
    </row>
    <row r="28" spans="1:11" x14ac:dyDescent="0.3">
      <c r="A28" s="771"/>
      <c r="B28" s="23" t="s">
        <v>2208</v>
      </c>
      <c r="C28" s="17"/>
      <c r="D28" s="17"/>
      <c r="E28" s="23"/>
      <c r="F28" s="18" t="s">
        <v>401</v>
      </c>
      <c r="G28" s="17">
        <v>10</v>
      </c>
      <c r="H28" s="17">
        <v>1</v>
      </c>
      <c r="I28" s="542">
        <v>7500</v>
      </c>
      <c r="J28" s="17"/>
    </row>
    <row r="29" spans="1:11" x14ac:dyDescent="0.3">
      <c r="A29" s="771"/>
      <c r="B29" s="23" t="s">
        <v>2209</v>
      </c>
      <c r="C29" s="17"/>
      <c r="D29" s="17"/>
      <c r="E29" s="23"/>
      <c r="F29" s="18" t="s">
        <v>401</v>
      </c>
      <c r="G29" s="17">
        <v>10</v>
      </c>
      <c r="H29" s="17">
        <v>1</v>
      </c>
      <c r="I29" s="542">
        <v>7500</v>
      </c>
      <c r="J29" s="17"/>
    </row>
    <row r="30" spans="1:11" x14ac:dyDescent="0.3">
      <c r="A30" s="771"/>
      <c r="B30" s="23" t="s">
        <v>2210</v>
      </c>
      <c r="C30" s="17"/>
      <c r="D30" s="17"/>
      <c r="E30" s="23"/>
      <c r="F30" s="18" t="s">
        <v>401</v>
      </c>
      <c r="G30" s="17">
        <v>10</v>
      </c>
      <c r="H30" s="17">
        <v>1</v>
      </c>
      <c r="I30" s="542">
        <v>7500</v>
      </c>
      <c r="J30" s="17"/>
    </row>
    <row r="31" spans="1:11" x14ac:dyDescent="0.3">
      <c r="A31" s="771"/>
      <c r="B31" s="23" t="s">
        <v>2211</v>
      </c>
      <c r="C31" s="17"/>
      <c r="D31" s="17"/>
      <c r="E31" s="23"/>
      <c r="F31" s="18" t="s">
        <v>401</v>
      </c>
      <c r="G31" s="17">
        <v>10</v>
      </c>
      <c r="H31" s="17">
        <v>1</v>
      </c>
      <c r="I31" s="542">
        <v>7500</v>
      </c>
      <c r="J31" s="17"/>
    </row>
    <row r="32" spans="1:11" x14ac:dyDescent="0.3">
      <c r="A32" s="771"/>
      <c r="B32" s="23" t="s">
        <v>2212</v>
      </c>
      <c r="C32" s="17"/>
      <c r="D32" s="17"/>
      <c r="E32" s="23"/>
      <c r="F32" s="18" t="s">
        <v>401</v>
      </c>
      <c r="G32" s="17">
        <v>10</v>
      </c>
      <c r="H32" s="17">
        <v>1</v>
      </c>
      <c r="I32" s="542">
        <v>7500</v>
      </c>
      <c r="J32" s="17"/>
    </row>
    <row r="33" spans="1:13" x14ac:dyDescent="0.3">
      <c r="A33" s="771"/>
      <c r="B33" s="23" t="s">
        <v>2213</v>
      </c>
      <c r="C33" s="17"/>
      <c r="D33" s="17"/>
      <c r="E33" s="23"/>
      <c r="F33" s="18" t="s">
        <v>401</v>
      </c>
      <c r="G33" s="17">
        <v>10</v>
      </c>
      <c r="H33" s="17">
        <v>1</v>
      </c>
      <c r="I33" s="542">
        <v>7500</v>
      </c>
      <c r="J33" s="17"/>
    </row>
    <row r="34" spans="1:13" x14ac:dyDescent="0.3">
      <c r="A34" s="119">
        <v>5</v>
      </c>
      <c r="B34" s="884" t="s">
        <v>2214</v>
      </c>
      <c r="C34" s="897"/>
      <c r="D34" s="897"/>
      <c r="E34" s="897"/>
      <c r="F34" s="897"/>
      <c r="G34" s="897"/>
      <c r="H34" s="897"/>
      <c r="I34" s="897"/>
      <c r="J34" s="897"/>
    </row>
    <row r="35" spans="1:13" x14ac:dyDescent="0.3">
      <c r="A35" s="17"/>
      <c r="B35" s="17" t="s">
        <v>2215</v>
      </c>
      <c r="C35" s="17">
        <v>1950</v>
      </c>
      <c r="D35" s="17"/>
      <c r="E35" s="17" t="s">
        <v>2216</v>
      </c>
      <c r="F35" s="17" t="s">
        <v>401</v>
      </c>
      <c r="G35" s="17">
        <v>800</v>
      </c>
      <c r="H35" s="17">
        <v>2</v>
      </c>
      <c r="I35" s="18">
        <v>800000</v>
      </c>
      <c r="J35" s="18">
        <v>10000</v>
      </c>
    </row>
    <row r="36" spans="1:13" ht="28.8" x14ac:dyDescent="0.3">
      <c r="A36" s="17"/>
      <c r="B36" s="17" t="s">
        <v>2217</v>
      </c>
      <c r="C36" s="17"/>
      <c r="D36" s="17"/>
      <c r="E36" s="17"/>
      <c r="F36" s="17" t="s">
        <v>401</v>
      </c>
      <c r="G36" s="17">
        <v>100</v>
      </c>
      <c r="H36" s="17"/>
      <c r="I36" s="18">
        <v>100000</v>
      </c>
      <c r="J36" s="18">
        <v>2000</v>
      </c>
      <c r="K36" s="586" t="s">
        <v>2344</v>
      </c>
    </row>
    <row r="37" spans="1:13" ht="28.8" x14ac:dyDescent="0.3">
      <c r="A37" s="17"/>
      <c r="B37" s="17" t="s">
        <v>2218</v>
      </c>
      <c r="C37" s="17"/>
      <c r="D37" s="17"/>
      <c r="E37" s="17"/>
      <c r="F37" s="17" t="s">
        <v>401</v>
      </c>
      <c r="G37" s="17">
        <v>24</v>
      </c>
      <c r="H37" s="17"/>
      <c r="I37" s="18">
        <v>40000</v>
      </c>
      <c r="J37" s="18">
        <v>3000</v>
      </c>
      <c r="K37" s="586" t="s">
        <v>2344</v>
      </c>
    </row>
    <row r="38" spans="1:13" x14ac:dyDescent="0.3">
      <c r="A38" s="17"/>
      <c r="B38" s="17" t="s">
        <v>2219</v>
      </c>
      <c r="C38" s="17"/>
      <c r="D38" s="17"/>
      <c r="E38" s="17"/>
      <c r="F38" s="17" t="s">
        <v>401</v>
      </c>
      <c r="G38" s="17">
        <v>12.5</v>
      </c>
      <c r="H38" s="17"/>
      <c r="I38" s="18">
        <v>7500</v>
      </c>
      <c r="J38" s="17"/>
    </row>
    <row r="39" spans="1:13" s="119" customFormat="1" x14ac:dyDescent="0.3">
      <c r="A39" s="775">
        <v>6</v>
      </c>
      <c r="B39" s="775" t="s">
        <v>2220</v>
      </c>
      <c r="C39" s="613"/>
      <c r="D39" s="613"/>
      <c r="E39" s="613"/>
      <c r="F39" s="613"/>
      <c r="G39" s="613"/>
      <c r="H39" s="613"/>
      <c r="I39" s="126"/>
      <c r="J39" s="613"/>
    </row>
    <row r="40" spans="1:13" ht="75.599999999999994" customHeight="1" x14ac:dyDescent="0.3">
      <c r="A40" s="23"/>
      <c r="B40" s="23" t="s">
        <v>2221</v>
      </c>
      <c r="C40" s="23" t="s">
        <v>2222</v>
      </c>
      <c r="D40" s="23">
        <v>2014</v>
      </c>
      <c r="E40" s="23" t="s">
        <v>2223</v>
      </c>
      <c r="F40" s="776" t="s">
        <v>2224</v>
      </c>
      <c r="G40" s="23" t="s">
        <v>2225</v>
      </c>
      <c r="H40" s="23">
        <v>3</v>
      </c>
      <c r="I40" s="78">
        <v>700000</v>
      </c>
      <c r="J40" s="777">
        <v>13922.9</v>
      </c>
    </row>
    <row r="41" spans="1:13" ht="57.6" x14ac:dyDescent="0.3">
      <c r="A41" s="17"/>
      <c r="B41" s="23" t="s">
        <v>2226</v>
      </c>
      <c r="C41" s="17"/>
      <c r="D41" s="17"/>
      <c r="E41" s="17"/>
      <c r="F41" s="23" t="s">
        <v>2227</v>
      </c>
      <c r="G41" s="17"/>
      <c r="H41" s="17"/>
      <c r="I41" s="18">
        <v>15000</v>
      </c>
      <c r="J41" s="17"/>
    </row>
    <row r="42" spans="1:13" x14ac:dyDescent="0.3">
      <c r="A42" s="769" t="s">
        <v>2228</v>
      </c>
      <c r="B42" s="884" t="s">
        <v>2229</v>
      </c>
      <c r="C42" s="895"/>
      <c r="D42" s="895"/>
      <c r="E42" s="895"/>
      <c r="F42" s="895"/>
      <c r="G42" s="895"/>
      <c r="H42" s="895"/>
      <c r="I42" s="895"/>
      <c r="J42" s="895"/>
      <c r="K42" s="890"/>
      <c r="L42" s="890"/>
      <c r="M42" s="905"/>
    </row>
    <row r="43" spans="1:13" ht="100.8" x14ac:dyDescent="0.3">
      <c r="A43" s="771"/>
      <c r="B43" s="23" t="s">
        <v>2230</v>
      </c>
      <c r="C43" s="17">
        <v>1918</v>
      </c>
      <c r="D43" s="778" t="s">
        <v>2231</v>
      </c>
      <c r="E43" s="23" t="s">
        <v>2232</v>
      </c>
      <c r="F43" s="18" t="s">
        <v>401</v>
      </c>
      <c r="G43" s="18" t="s">
        <v>475</v>
      </c>
      <c r="H43" s="17" t="s">
        <v>2233</v>
      </c>
      <c r="I43" s="75">
        <v>276000</v>
      </c>
      <c r="J43" s="18">
        <v>25000</v>
      </c>
      <c r="K43" s="524"/>
    </row>
    <row r="44" spans="1:13" ht="28.8" x14ac:dyDescent="0.3">
      <c r="A44" s="771"/>
      <c r="B44" s="23" t="s">
        <v>2292</v>
      </c>
      <c r="C44" s="17">
        <v>1890</v>
      </c>
      <c r="D44" s="58"/>
      <c r="E44" s="23"/>
      <c r="F44" s="17"/>
      <c r="G44" s="17"/>
      <c r="H44" s="17"/>
      <c r="I44" s="75">
        <v>150000</v>
      </c>
      <c r="J44" s="17"/>
      <c r="K44" s="586" t="s">
        <v>2344</v>
      </c>
    </row>
    <row r="45" spans="1:13" x14ac:dyDescent="0.3">
      <c r="A45" s="775">
        <v>8</v>
      </c>
      <c r="B45" s="886" t="s">
        <v>2234</v>
      </c>
      <c r="C45" s="887"/>
      <c r="D45" s="887"/>
      <c r="E45" s="887"/>
      <c r="F45" s="887"/>
      <c r="G45" s="887"/>
      <c r="H45" s="887"/>
      <c r="I45" s="887"/>
      <c r="J45" s="887"/>
      <c r="K45" s="887"/>
      <c r="L45" s="887"/>
      <c r="M45" s="888"/>
    </row>
    <row r="46" spans="1:13" ht="28.8" x14ac:dyDescent="0.3">
      <c r="A46" s="17"/>
      <c r="B46" s="23" t="s">
        <v>2235</v>
      </c>
      <c r="C46" s="17">
        <v>2006</v>
      </c>
      <c r="D46" s="17"/>
      <c r="E46" s="17"/>
      <c r="F46" s="17" t="s">
        <v>401</v>
      </c>
      <c r="G46" s="17" t="s">
        <v>2236</v>
      </c>
      <c r="H46" s="17">
        <v>208</v>
      </c>
      <c r="I46" s="58" t="s">
        <v>2237</v>
      </c>
      <c r="J46" s="18">
        <v>25000</v>
      </c>
      <c r="K46" s="17"/>
    </row>
    <row r="47" spans="1:13" ht="28.8" x14ac:dyDescent="0.3">
      <c r="A47" s="17"/>
      <c r="B47" s="23" t="s">
        <v>2238</v>
      </c>
      <c r="C47" s="17">
        <v>1986</v>
      </c>
      <c r="D47" s="17"/>
      <c r="E47" s="17"/>
      <c r="F47" s="17" t="s">
        <v>401</v>
      </c>
      <c r="G47" s="17" t="s">
        <v>2239</v>
      </c>
      <c r="H47" s="17">
        <v>31</v>
      </c>
      <c r="I47" s="18">
        <v>50000</v>
      </c>
      <c r="J47" s="18">
        <v>5000</v>
      </c>
      <c r="K47" s="17"/>
    </row>
    <row r="48" spans="1:13" ht="28.8" x14ac:dyDescent="0.3">
      <c r="A48" s="17"/>
      <c r="B48" s="23" t="s">
        <v>2240</v>
      </c>
      <c r="C48" s="17">
        <v>2012</v>
      </c>
      <c r="D48" s="17"/>
      <c r="E48" s="17"/>
      <c r="F48" s="17"/>
      <c r="G48" s="17"/>
      <c r="H48" s="17"/>
      <c r="I48" s="18">
        <v>1692</v>
      </c>
      <c r="J48" s="17"/>
      <c r="K48" s="17"/>
    </row>
    <row r="49" spans="1:14" x14ac:dyDescent="0.3">
      <c r="A49" s="779">
        <v>9</v>
      </c>
      <c r="B49" s="780" t="s">
        <v>2241</v>
      </c>
      <c r="C49" s="613"/>
      <c r="D49" s="613"/>
      <c r="E49" s="613"/>
      <c r="F49" s="613"/>
      <c r="G49" s="613"/>
      <c r="H49" s="613"/>
      <c r="I49" s="613"/>
      <c r="J49" s="613"/>
      <c r="K49" s="613"/>
    </row>
    <row r="50" spans="1:14" ht="28.8" x14ac:dyDescent="0.3">
      <c r="A50" s="17"/>
      <c r="B50" s="23" t="s">
        <v>2242</v>
      </c>
      <c r="C50" s="17">
        <v>2012</v>
      </c>
      <c r="D50" s="17">
        <v>2017</v>
      </c>
      <c r="E50" s="17" t="s">
        <v>2243</v>
      </c>
      <c r="F50" s="104" t="s">
        <v>2244</v>
      </c>
      <c r="G50" s="17" t="s">
        <v>2245</v>
      </c>
      <c r="H50" s="58" t="s">
        <v>2246</v>
      </c>
      <c r="I50" s="18">
        <v>230000</v>
      </c>
      <c r="J50" s="17"/>
      <c r="K50" s="17"/>
    </row>
    <row r="51" spans="1:14" ht="28.8" x14ac:dyDescent="0.3">
      <c r="A51" s="17"/>
      <c r="B51" s="23" t="s">
        <v>2247</v>
      </c>
      <c r="C51" s="17">
        <v>1920</v>
      </c>
      <c r="D51" s="17"/>
      <c r="E51" s="17"/>
      <c r="F51" s="17" t="s">
        <v>401</v>
      </c>
      <c r="G51" s="17"/>
      <c r="H51" s="58" t="s">
        <v>2248</v>
      </c>
      <c r="I51" s="18">
        <v>30000</v>
      </c>
      <c r="J51" s="17"/>
      <c r="K51" s="17"/>
    </row>
    <row r="52" spans="1:14" ht="28.8" x14ac:dyDescent="0.3">
      <c r="A52" s="17"/>
      <c r="B52" s="23" t="s">
        <v>2249</v>
      </c>
      <c r="C52" s="17">
        <v>1960</v>
      </c>
      <c r="D52" s="17">
        <v>1993</v>
      </c>
      <c r="E52" s="17" t="s">
        <v>2250</v>
      </c>
      <c r="F52" s="17" t="s">
        <v>401</v>
      </c>
      <c r="G52" s="17"/>
      <c r="H52" s="58" t="s">
        <v>2251</v>
      </c>
      <c r="I52" s="18">
        <v>160000</v>
      </c>
      <c r="J52" s="18">
        <v>10000</v>
      </c>
      <c r="K52" s="17"/>
    </row>
    <row r="53" spans="1:14" ht="28.8" x14ac:dyDescent="0.3">
      <c r="A53" s="17"/>
      <c r="B53" s="136" t="s">
        <v>2252</v>
      </c>
      <c r="C53" s="17">
        <v>1995</v>
      </c>
      <c r="D53" s="17"/>
      <c r="E53" s="17"/>
      <c r="F53" s="17" t="s">
        <v>401</v>
      </c>
      <c r="G53" s="17"/>
      <c r="H53" s="58" t="s">
        <v>2253</v>
      </c>
      <c r="I53" s="18">
        <v>10000</v>
      </c>
      <c r="J53" s="17"/>
      <c r="K53" s="17"/>
    </row>
    <row r="54" spans="1:14" ht="28.8" x14ac:dyDescent="0.3">
      <c r="A54" s="135"/>
      <c r="B54" s="136" t="s">
        <v>2254</v>
      </c>
      <c r="C54" s="74">
        <v>1925</v>
      </c>
      <c r="D54" s="17">
        <v>1980</v>
      </c>
      <c r="E54" s="17" t="s">
        <v>2250</v>
      </c>
      <c r="F54" s="17" t="s">
        <v>401</v>
      </c>
      <c r="G54" s="17"/>
      <c r="H54" s="58" t="s">
        <v>2255</v>
      </c>
      <c r="I54" s="18">
        <v>325000</v>
      </c>
      <c r="J54" s="18">
        <v>8000</v>
      </c>
      <c r="K54" s="17"/>
    </row>
    <row r="55" spans="1:14" x14ac:dyDescent="0.3">
      <c r="A55" s="552"/>
      <c r="B55" s="552"/>
      <c r="C55" s="553" t="s">
        <v>2256</v>
      </c>
      <c r="D55" s="553"/>
      <c r="E55" s="553"/>
      <c r="F55" s="553"/>
      <c r="G55" s="553"/>
      <c r="H55" s="553"/>
      <c r="I55" s="553"/>
      <c r="J55" s="553"/>
      <c r="K55" s="781"/>
    </row>
    <row r="56" spans="1:14" ht="28.8" x14ac:dyDescent="0.3">
      <c r="A56" s="17"/>
      <c r="B56" s="23" t="s">
        <v>2257</v>
      </c>
      <c r="C56" s="17">
        <v>1950</v>
      </c>
      <c r="D56" s="17">
        <v>1993</v>
      </c>
      <c r="E56" s="17" t="s">
        <v>2250</v>
      </c>
      <c r="F56" s="17" t="s">
        <v>401</v>
      </c>
      <c r="G56" s="17"/>
      <c r="H56" s="58" t="s">
        <v>2258</v>
      </c>
      <c r="I56" s="18">
        <v>20000</v>
      </c>
      <c r="J56" s="17"/>
      <c r="K56" s="17"/>
    </row>
    <row r="57" spans="1:14" ht="28.8" x14ac:dyDescent="0.3">
      <c r="A57" s="17"/>
      <c r="B57" s="23" t="s">
        <v>2259</v>
      </c>
      <c r="C57" s="17">
        <v>1995</v>
      </c>
      <c r="D57" s="17"/>
      <c r="E57" s="17"/>
      <c r="F57" s="17" t="s">
        <v>401</v>
      </c>
      <c r="G57" s="17"/>
      <c r="H57" s="58" t="s">
        <v>2260</v>
      </c>
      <c r="I57" s="18">
        <v>60000</v>
      </c>
      <c r="J57" s="18">
        <v>5000</v>
      </c>
      <c r="K57" s="17"/>
    </row>
    <row r="58" spans="1:14" x14ac:dyDescent="0.3">
      <c r="A58" s="775">
        <v>10</v>
      </c>
      <c r="B58" s="886" t="s">
        <v>2261</v>
      </c>
      <c r="C58" s="887"/>
      <c r="D58" s="887"/>
      <c r="E58" s="887"/>
      <c r="F58" s="887"/>
      <c r="G58" s="887"/>
      <c r="H58" s="887"/>
      <c r="I58" s="887"/>
      <c r="J58" s="887"/>
      <c r="K58" s="887"/>
      <c r="L58" s="887"/>
      <c r="M58" s="888"/>
    </row>
    <row r="59" spans="1:14" ht="28.8" x14ac:dyDescent="0.3">
      <c r="A59" s="17"/>
      <c r="B59" s="23" t="s">
        <v>2262</v>
      </c>
      <c r="C59" s="17"/>
      <c r="D59" s="17"/>
      <c r="E59" s="17"/>
      <c r="F59" s="17" t="s">
        <v>401</v>
      </c>
      <c r="G59" s="17"/>
      <c r="H59" s="17" t="s">
        <v>2263</v>
      </c>
      <c r="I59" s="542">
        <v>220000</v>
      </c>
      <c r="J59" s="782" t="s">
        <v>2264</v>
      </c>
      <c r="K59" s="23" t="s">
        <v>2265</v>
      </c>
    </row>
    <row r="60" spans="1:14" x14ac:dyDescent="0.3">
      <c r="A60" s="775">
        <v>11</v>
      </c>
      <c r="B60" s="886" t="s">
        <v>2266</v>
      </c>
      <c r="C60" s="887"/>
      <c r="D60" s="887"/>
      <c r="E60" s="887"/>
      <c r="F60" s="887"/>
      <c r="G60" s="887"/>
      <c r="H60" s="887"/>
      <c r="I60" s="887"/>
      <c r="J60" s="887"/>
      <c r="K60" s="887"/>
      <c r="L60" s="887"/>
      <c r="M60" s="888"/>
    </row>
    <row r="61" spans="1:14" ht="28.8" x14ac:dyDescent="0.3">
      <c r="A61" s="17"/>
      <c r="B61" s="23" t="s">
        <v>2267</v>
      </c>
      <c r="C61" s="17"/>
      <c r="D61" s="17"/>
      <c r="E61" s="17"/>
      <c r="F61" s="17" t="s">
        <v>401</v>
      </c>
      <c r="G61" s="17"/>
      <c r="H61" s="17"/>
      <c r="I61" s="542">
        <v>1200000</v>
      </c>
      <c r="J61" s="782" t="s">
        <v>2268</v>
      </c>
      <c r="K61" s="23" t="s">
        <v>2269</v>
      </c>
    </row>
    <row r="63" spans="1:14" ht="15" thickBot="1" x14ac:dyDescent="0.35">
      <c r="A63" t="s">
        <v>2280</v>
      </c>
      <c r="B63" s="56"/>
      <c r="D63" s="56"/>
    </row>
    <row r="64" spans="1:14" ht="15" thickBot="1" x14ac:dyDescent="0.35">
      <c r="A64" s="872" t="s">
        <v>37</v>
      </c>
      <c r="B64" s="873"/>
      <c r="C64" s="873"/>
      <c r="D64" s="873"/>
      <c r="E64" s="873"/>
      <c r="F64" s="873"/>
      <c r="G64" s="873"/>
      <c r="H64" s="873"/>
      <c r="I64" s="874"/>
      <c r="J64" s="906" t="s">
        <v>208</v>
      </c>
      <c r="K64" s="907"/>
      <c r="N64" s="783" t="s">
        <v>2270</v>
      </c>
    </row>
    <row r="65" spans="1:14" ht="73.8" customHeight="1" thickBot="1" x14ac:dyDescent="0.35">
      <c r="A65" s="100"/>
      <c r="B65" s="101" t="s">
        <v>2271</v>
      </c>
      <c r="C65" s="899" t="s">
        <v>41</v>
      </c>
      <c r="D65" s="900"/>
      <c r="E65" s="901" t="s">
        <v>42</v>
      </c>
      <c r="F65" s="902"/>
      <c r="G65" s="899" t="s">
        <v>43</v>
      </c>
      <c r="H65" s="900"/>
      <c r="I65" s="7" t="s">
        <v>207</v>
      </c>
      <c r="J65" s="7" t="s">
        <v>208</v>
      </c>
      <c r="K65" s="784" t="s">
        <v>2272</v>
      </c>
      <c r="L65" s="5"/>
      <c r="N65" s="783" t="s">
        <v>2270</v>
      </c>
    </row>
    <row r="66" spans="1:14" x14ac:dyDescent="0.3">
      <c r="A66" s="9"/>
      <c r="B66" s="10"/>
      <c r="C66" s="11" t="s">
        <v>48</v>
      </c>
      <c r="D66" s="12" t="s">
        <v>49</v>
      </c>
      <c r="E66" s="13" t="s">
        <v>48</v>
      </c>
      <c r="F66" s="13" t="s">
        <v>49</v>
      </c>
      <c r="G66" s="12" t="s">
        <v>48</v>
      </c>
      <c r="H66" s="12" t="s">
        <v>49</v>
      </c>
      <c r="I66" s="14"/>
      <c r="J66" s="785"/>
      <c r="K66" s="552"/>
      <c r="N66" s="552"/>
    </row>
    <row r="67" spans="1:14" x14ac:dyDescent="0.3">
      <c r="A67" s="764" t="s">
        <v>891</v>
      </c>
      <c r="B67" s="889" t="s">
        <v>2169</v>
      </c>
      <c r="C67" s="890"/>
      <c r="D67" s="890"/>
      <c r="E67" s="890"/>
      <c r="F67" s="890"/>
      <c r="G67" s="890"/>
      <c r="H67" s="890"/>
      <c r="I67" s="890"/>
      <c r="J67" s="890"/>
      <c r="K67" s="891"/>
      <c r="N67" s="613"/>
    </row>
    <row r="68" spans="1:14" x14ac:dyDescent="0.3">
      <c r="A68" s="765"/>
      <c r="B68" s="766" t="s">
        <v>2273</v>
      </c>
      <c r="C68" s="768">
        <v>7000</v>
      </c>
      <c r="D68" s="768">
        <v>2000</v>
      </c>
      <c r="E68" s="786">
        <v>2000</v>
      </c>
      <c r="F68" s="768">
        <v>1500</v>
      </c>
      <c r="G68" s="768">
        <v>5000</v>
      </c>
      <c r="H68" s="768">
        <v>4000</v>
      </c>
      <c r="I68" s="768">
        <v>2000</v>
      </c>
      <c r="J68" s="787">
        <v>2000</v>
      </c>
      <c r="K68" s="18">
        <v>1000</v>
      </c>
      <c r="N68" s="17"/>
    </row>
    <row r="69" spans="1:14" x14ac:dyDescent="0.3">
      <c r="A69" s="765"/>
      <c r="B69" s="766" t="s">
        <v>2274</v>
      </c>
      <c r="C69" s="766"/>
      <c r="D69" s="766"/>
      <c r="E69" s="768">
        <v>2000</v>
      </c>
      <c r="F69" s="766"/>
      <c r="G69" s="768">
        <v>2000</v>
      </c>
      <c r="H69" s="766"/>
      <c r="I69" s="768">
        <v>1000</v>
      </c>
      <c r="J69" s="788"/>
      <c r="K69" s="17"/>
      <c r="N69" s="17"/>
    </row>
    <row r="70" spans="1:14" x14ac:dyDescent="0.3">
      <c r="A70" s="766"/>
      <c r="B70" s="766" t="s">
        <v>2174</v>
      </c>
      <c r="C70" s="766"/>
      <c r="D70" s="766"/>
      <c r="E70" s="766"/>
      <c r="F70" s="766"/>
      <c r="G70" s="768">
        <v>2000</v>
      </c>
      <c r="H70" s="766"/>
      <c r="I70" s="768">
        <v>1000</v>
      </c>
      <c r="J70" s="788"/>
      <c r="K70" s="17"/>
      <c r="N70" s="17"/>
    </row>
    <row r="71" spans="1:14" x14ac:dyDescent="0.3">
      <c r="A71" s="769" t="s">
        <v>2178</v>
      </c>
      <c r="B71" s="892" t="s">
        <v>2179</v>
      </c>
      <c r="C71" s="893"/>
      <c r="D71" s="893"/>
      <c r="E71" s="893"/>
      <c r="F71" s="893"/>
      <c r="G71" s="893"/>
      <c r="H71" s="893"/>
      <c r="I71" s="893"/>
      <c r="J71" s="893"/>
      <c r="K71" s="894"/>
      <c r="N71" s="613"/>
    </row>
    <row r="72" spans="1:14" x14ac:dyDescent="0.3">
      <c r="A72" s="771"/>
      <c r="B72" s="23" t="s">
        <v>2275</v>
      </c>
      <c r="C72" s="18">
        <v>3000</v>
      </c>
      <c r="D72" s="18">
        <v>2000</v>
      </c>
      <c r="E72" s="78">
        <v>2000</v>
      </c>
      <c r="F72" s="18"/>
      <c r="G72" s="18">
        <v>5000</v>
      </c>
      <c r="H72" s="18">
        <v>1500</v>
      </c>
      <c r="I72" s="18">
        <v>2000</v>
      </c>
      <c r="J72" s="73">
        <v>2000</v>
      </c>
      <c r="K72" s="18">
        <v>1000</v>
      </c>
      <c r="N72" s="17"/>
    </row>
    <row r="73" spans="1:14" x14ac:dyDescent="0.3">
      <c r="A73" s="771"/>
      <c r="B73" s="23" t="s">
        <v>2184</v>
      </c>
      <c r="C73" s="17"/>
      <c r="D73" s="17"/>
      <c r="E73" s="23"/>
      <c r="F73" s="17"/>
      <c r="G73" s="18">
        <v>3000</v>
      </c>
      <c r="H73" s="17"/>
      <c r="I73" s="18"/>
      <c r="J73" s="73"/>
      <c r="K73" s="17"/>
      <c r="N73" s="17"/>
    </row>
    <row r="74" spans="1:14" x14ac:dyDescent="0.3">
      <c r="A74" s="771"/>
      <c r="B74" s="23" t="s">
        <v>2188</v>
      </c>
      <c r="C74" s="17"/>
      <c r="D74" s="17"/>
      <c r="E74" s="23"/>
      <c r="F74" s="17"/>
      <c r="G74" s="18">
        <v>2000</v>
      </c>
      <c r="H74" s="18">
        <v>1500</v>
      </c>
      <c r="I74" s="18"/>
      <c r="J74" s="73"/>
      <c r="K74" s="17"/>
      <c r="N74" s="17"/>
    </row>
    <row r="75" spans="1:14" x14ac:dyDescent="0.3">
      <c r="A75" s="769" t="s">
        <v>2190</v>
      </c>
      <c r="B75" s="884" t="s">
        <v>2191</v>
      </c>
      <c r="C75" s="895"/>
      <c r="D75" s="895"/>
      <c r="E75" s="895"/>
      <c r="F75" s="895"/>
      <c r="G75" s="895"/>
      <c r="H75" s="895"/>
      <c r="I75" s="895"/>
      <c r="J75" s="895"/>
      <c r="K75" s="896"/>
      <c r="N75" s="613"/>
    </row>
    <row r="76" spans="1:14" x14ac:dyDescent="0.3">
      <c r="A76" s="772"/>
      <c r="B76" s="23" t="s">
        <v>2192</v>
      </c>
      <c r="C76" s="18">
        <v>3000</v>
      </c>
      <c r="D76" s="18">
        <v>2000</v>
      </c>
      <c r="E76" s="23"/>
      <c r="F76" s="18"/>
      <c r="G76" s="18">
        <v>5000</v>
      </c>
      <c r="H76" s="18">
        <v>2000</v>
      </c>
      <c r="I76" s="18">
        <v>2000</v>
      </c>
      <c r="J76" s="789">
        <v>5000</v>
      </c>
      <c r="K76" s="18">
        <v>4000</v>
      </c>
      <c r="N76" s="17">
        <v>2000</v>
      </c>
    </row>
    <row r="77" spans="1:14" s="862" customFormat="1" x14ac:dyDescent="0.3">
      <c r="A77" s="855"/>
      <c r="B77" s="864" t="s">
        <v>2196</v>
      </c>
      <c r="C77" s="865"/>
      <c r="D77" s="865"/>
      <c r="E77" s="864"/>
      <c r="F77" s="858"/>
      <c r="G77" s="858">
        <v>1500</v>
      </c>
      <c r="H77" s="865"/>
      <c r="I77" s="858"/>
      <c r="J77" s="867"/>
      <c r="K77" s="865"/>
      <c r="N77" s="865"/>
    </row>
    <row r="78" spans="1:14" x14ac:dyDescent="0.3">
      <c r="A78" s="769" t="s">
        <v>2202</v>
      </c>
      <c r="B78" s="884" t="s">
        <v>2203</v>
      </c>
      <c r="C78" s="895"/>
      <c r="D78" s="895"/>
      <c r="E78" s="895"/>
      <c r="F78" s="895"/>
      <c r="G78" s="895"/>
      <c r="H78" s="895"/>
      <c r="I78" s="895"/>
      <c r="J78" s="895"/>
      <c r="K78" s="896"/>
      <c r="N78" s="613"/>
    </row>
    <row r="79" spans="1:14" x14ac:dyDescent="0.3">
      <c r="A79" s="771"/>
      <c r="B79" s="23" t="s">
        <v>2204</v>
      </c>
      <c r="C79" s="17"/>
      <c r="D79" s="17"/>
      <c r="E79" s="23"/>
      <c r="F79" s="18"/>
      <c r="G79" s="18">
        <v>3000</v>
      </c>
      <c r="H79" s="17"/>
      <c r="I79" s="26">
        <v>2000</v>
      </c>
      <c r="J79" s="73">
        <v>5000</v>
      </c>
      <c r="K79" s="18">
        <f>K80</f>
        <v>1000</v>
      </c>
      <c r="N79" s="17"/>
    </row>
    <row r="80" spans="1:14" x14ac:dyDescent="0.3">
      <c r="A80" s="771"/>
      <c r="B80" s="23" t="s">
        <v>2206</v>
      </c>
      <c r="C80" s="17"/>
      <c r="D80" s="17"/>
      <c r="E80" s="23"/>
      <c r="F80" s="18"/>
      <c r="G80" s="18">
        <v>5000</v>
      </c>
      <c r="H80" s="17"/>
      <c r="I80" s="18">
        <v>2000</v>
      </c>
      <c r="J80" s="73">
        <v>5000</v>
      </c>
      <c r="K80" s="18">
        <v>1000</v>
      </c>
      <c r="N80" s="17"/>
    </row>
    <row r="81" spans="1:14" x14ac:dyDescent="0.3">
      <c r="A81" s="119">
        <v>5</v>
      </c>
      <c r="B81" s="884" t="s">
        <v>2214</v>
      </c>
      <c r="C81" s="897"/>
      <c r="D81" s="897"/>
      <c r="E81" s="897"/>
      <c r="F81" s="897"/>
      <c r="G81" s="897"/>
      <c r="H81" s="897"/>
      <c r="I81" s="897"/>
      <c r="J81" s="897"/>
      <c r="K81" s="896"/>
      <c r="N81" s="613"/>
    </row>
    <row r="82" spans="1:14" x14ac:dyDescent="0.3">
      <c r="A82" s="17"/>
      <c r="B82" s="17" t="s">
        <v>2276</v>
      </c>
      <c r="C82" s="18">
        <v>3000</v>
      </c>
      <c r="D82" s="18">
        <v>2000</v>
      </c>
      <c r="E82" s="17"/>
      <c r="F82" s="17"/>
      <c r="G82" s="18">
        <v>5000</v>
      </c>
      <c r="H82" s="17"/>
      <c r="I82" s="18">
        <v>2000</v>
      </c>
      <c r="J82" s="73">
        <v>2000</v>
      </c>
      <c r="K82" s="18">
        <v>1000</v>
      </c>
      <c r="N82" s="17"/>
    </row>
    <row r="83" spans="1:14" x14ac:dyDescent="0.3">
      <c r="A83" s="17"/>
      <c r="B83" s="17" t="s">
        <v>2217</v>
      </c>
      <c r="C83" s="17"/>
      <c r="D83" s="17"/>
      <c r="E83" s="17"/>
      <c r="F83" s="17"/>
      <c r="G83" s="18">
        <v>3000</v>
      </c>
      <c r="H83" s="17"/>
      <c r="I83" s="18"/>
      <c r="J83" s="73"/>
      <c r="K83" s="17"/>
      <c r="N83" s="17"/>
    </row>
    <row r="84" spans="1:14" x14ac:dyDescent="0.3">
      <c r="A84" s="775">
        <v>6</v>
      </c>
      <c r="B84" s="884" t="s">
        <v>2220</v>
      </c>
      <c r="C84" s="898"/>
      <c r="D84" s="898"/>
      <c r="E84" s="898"/>
      <c r="F84" s="898"/>
      <c r="G84" s="898"/>
      <c r="H84" s="898"/>
      <c r="I84" s="898"/>
      <c r="J84" s="898"/>
      <c r="K84" s="896"/>
      <c r="N84" s="613"/>
    </row>
    <row r="85" spans="1:14" ht="28.8" x14ac:dyDescent="0.3">
      <c r="A85" s="17"/>
      <c r="B85" s="23" t="s">
        <v>2277</v>
      </c>
      <c r="C85" s="78">
        <v>3000</v>
      </c>
      <c r="D85" s="78">
        <v>2000</v>
      </c>
      <c r="E85" s="23"/>
      <c r="F85" s="23"/>
      <c r="G85" s="78">
        <v>5000</v>
      </c>
      <c r="H85" s="78">
        <v>2000</v>
      </c>
      <c r="I85" s="18">
        <v>2000</v>
      </c>
      <c r="J85" s="790">
        <v>2000</v>
      </c>
      <c r="K85" s="18">
        <v>1000</v>
      </c>
      <c r="N85" s="17"/>
    </row>
    <row r="86" spans="1:14" x14ac:dyDescent="0.3">
      <c r="A86" s="775">
        <v>7</v>
      </c>
      <c r="B86" s="882" t="s">
        <v>2229</v>
      </c>
      <c r="C86" s="883"/>
      <c r="D86" s="883"/>
      <c r="E86" s="883"/>
      <c r="F86" s="883"/>
      <c r="G86" s="883"/>
      <c r="H86" s="883"/>
      <c r="I86" s="883"/>
      <c r="J86" s="883"/>
      <c r="K86" s="883"/>
      <c r="N86" s="613"/>
    </row>
    <row r="87" spans="1:14" ht="28.8" x14ac:dyDescent="0.3">
      <c r="A87" s="135"/>
      <c r="B87" s="136" t="s">
        <v>2230</v>
      </c>
      <c r="C87" s="624">
        <v>3000</v>
      </c>
      <c r="D87" s="624">
        <v>2000</v>
      </c>
      <c r="E87" s="624"/>
      <c r="F87" s="624"/>
      <c r="G87" s="624">
        <v>5000</v>
      </c>
      <c r="H87" s="624">
        <v>2000</v>
      </c>
      <c r="I87" s="624">
        <v>2000</v>
      </c>
      <c r="J87" s="624">
        <v>2000</v>
      </c>
      <c r="K87" s="625">
        <v>1000</v>
      </c>
      <c r="N87" s="17"/>
    </row>
    <row r="88" spans="1:14" x14ac:dyDescent="0.3">
      <c r="A88" s="775">
        <v>8</v>
      </c>
      <c r="B88" s="884" t="s">
        <v>2234</v>
      </c>
      <c r="C88" s="885"/>
      <c r="D88" s="885"/>
      <c r="E88" s="885"/>
      <c r="F88" s="885"/>
      <c r="G88" s="885"/>
      <c r="H88" s="885"/>
      <c r="I88" s="885"/>
      <c r="J88" s="885"/>
      <c r="K88" s="885"/>
      <c r="L88" s="885"/>
      <c r="M88" s="885"/>
      <c r="N88" s="613"/>
    </row>
    <row r="89" spans="1:14" ht="28.8" x14ac:dyDescent="0.3">
      <c r="A89" s="552"/>
      <c r="B89" s="68" t="s">
        <v>2235</v>
      </c>
      <c r="C89" s="791">
        <v>3000</v>
      </c>
      <c r="D89" s="791">
        <v>2000</v>
      </c>
      <c r="E89" s="791"/>
      <c r="F89" s="791"/>
      <c r="G89" s="791">
        <v>5000</v>
      </c>
      <c r="H89" s="791">
        <v>2000</v>
      </c>
      <c r="I89" s="792">
        <v>2000</v>
      </c>
      <c r="J89" s="791">
        <v>2000</v>
      </c>
      <c r="K89" s="791">
        <v>1000</v>
      </c>
      <c r="N89" s="17"/>
    </row>
    <row r="90" spans="1:14" ht="28.8" x14ac:dyDescent="0.3">
      <c r="A90" s="17"/>
      <c r="B90" s="23" t="s">
        <v>2238</v>
      </c>
      <c r="C90" s="18"/>
      <c r="D90" s="18"/>
      <c r="E90" s="18"/>
      <c r="F90" s="18"/>
      <c r="G90" s="18">
        <v>3000</v>
      </c>
      <c r="H90" s="18"/>
      <c r="I90" s="18">
        <v>1000</v>
      </c>
      <c r="J90" s="18"/>
      <c r="K90" s="18"/>
      <c r="N90" s="17"/>
    </row>
    <row r="91" spans="1:14" x14ac:dyDescent="0.3">
      <c r="A91" s="779">
        <v>9</v>
      </c>
      <c r="B91" s="780" t="s">
        <v>2241</v>
      </c>
      <c r="C91" s="770"/>
      <c r="D91" s="770"/>
      <c r="E91" s="770"/>
      <c r="F91" s="770"/>
      <c r="G91" s="770"/>
      <c r="H91" s="770"/>
      <c r="I91" s="770"/>
      <c r="J91" s="770"/>
      <c r="K91" s="793"/>
      <c r="N91" s="613"/>
    </row>
    <row r="92" spans="1:14" ht="28.8" x14ac:dyDescent="0.3">
      <c r="B92" s="23" t="s">
        <v>2242</v>
      </c>
      <c r="C92" s="17"/>
      <c r="D92" s="17"/>
      <c r="E92" s="17"/>
      <c r="F92" s="17"/>
      <c r="G92" s="17"/>
      <c r="H92" s="17"/>
      <c r="I92" s="17"/>
      <c r="J92" s="17"/>
      <c r="K92" s="17"/>
      <c r="N92" s="17"/>
    </row>
    <row r="93" spans="1:14" ht="28.8" x14ac:dyDescent="0.3">
      <c r="B93" s="23" t="s">
        <v>2247</v>
      </c>
      <c r="C93" s="17"/>
      <c r="D93" s="17"/>
      <c r="E93" s="17"/>
      <c r="F93" s="17"/>
      <c r="G93" s="18">
        <v>1000</v>
      </c>
      <c r="H93" s="17"/>
      <c r="I93" s="17"/>
      <c r="J93" s="17"/>
      <c r="K93" s="17"/>
      <c r="N93" s="17"/>
    </row>
    <row r="94" spans="1:14" ht="28.8" x14ac:dyDescent="0.3">
      <c r="B94" s="23" t="s">
        <v>2249</v>
      </c>
      <c r="C94" s="17"/>
      <c r="D94" s="17"/>
      <c r="E94" s="17"/>
      <c r="F94" s="17"/>
      <c r="G94" s="18">
        <v>3000</v>
      </c>
      <c r="H94" s="18">
        <v>1000</v>
      </c>
      <c r="I94" s="17"/>
      <c r="J94" s="17"/>
      <c r="K94" s="17"/>
      <c r="N94" s="17"/>
    </row>
    <row r="95" spans="1:14" ht="28.8" x14ac:dyDescent="0.3">
      <c r="B95" s="23" t="s">
        <v>2252</v>
      </c>
      <c r="C95" s="17"/>
      <c r="D95" s="17"/>
      <c r="E95" s="17"/>
      <c r="F95" s="17"/>
      <c r="G95" s="18">
        <v>2000</v>
      </c>
      <c r="H95" s="17"/>
      <c r="I95" s="17"/>
      <c r="J95" s="17"/>
      <c r="K95" s="17"/>
      <c r="N95" s="17"/>
    </row>
    <row r="96" spans="1:14" ht="28.8" x14ac:dyDescent="0.3">
      <c r="B96" s="23" t="s">
        <v>2254</v>
      </c>
      <c r="C96" s="17"/>
      <c r="D96" s="17"/>
      <c r="E96" s="17"/>
      <c r="F96" s="17"/>
      <c r="G96" s="18">
        <v>5000</v>
      </c>
      <c r="H96" s="18">
        <v>1500</v>
      </c>
      <c r="I96" s="17"/>
      <c r="J96" s="18">
        <v>1000</v>
      </c>
      <c r="K96" s="18">
        <v>1000</v>
      </c>
      <c r="N96" s="18">
        <v>1000</v>
      </c>
    </row>
    <row r="97" spans="1:14" ht="28.8" x14ac:dyDescent="0.3">
      <c r="B97" s="23" t="s">
        <v>2257</v>
      </c>
      <c r="C97" s="17"/>
      <c r="D97" s="17"/>
      <c r="E97" s="17"/>
      <c r="F97" s="17"/>
      <c r="G97" s="18">
        <v>1000</v>
      </c>
      <c r="H97" s="17"/>
      <c r="I97" s="17"/>
      <c r="J97" s="794">
        <v>100</v>
      </c>
      <c r="K97" s="18">
        <v>1000</v>
      </c>
      <c r="N97" s="135"/>
    </row>
    <row r="98" spans="1:14" ht="28.8" x14ac:dyDescent="0.3">
      <c r="B98" s="23" t="s">
        <v>2259</v>
      </c>
      <c r="C98" s="17"/>
      <c r="D98" s="17"/>
      <c r="E98" s="17"/>
      <c r="F98" s="17"/>
      <c r="G98" s="17"/>
      <c r="H98" s="17"/>
      <c r="I98" s="17"/>
      <c r="J98" s="18">
        <v>1000</v>
      </c>
      <c r="K98" s="18">
        <v>1000</v>
      </c>
      <c r="N98" s="135" t="s">
        <v>2278</v>
      </c>
    </row>
    <row r="99" spans="1:14" x14ac:dyDescent="0.3">
      <c r="N99" s="552" t="s">
        <v>2279</v>
      </c>
    </row>
    <row r="100" spans="1:14" x14ac:dyDescent="0.3">
      <c r="A100" s="775">
        <v>10</v>
      </c>
      <c r="B100" s="886" t="s">
        <v>2261</v>
      </c>
      <c r="C100" s="887"/>
      <c r="D100" s="887"/>
      <c r="E100" s="887"/>
      <c r="F100" s="887"/>
      <c r="G100" s="887"/>
      <c r="H100" s="887"/>
      <c r="I100" s="887"/>
      <c r="J100" s="887"/>
      <c r="K100" s="887"/>
      <c r="L100" s="887"/>
      <c r="M100" s="888"/>
    </row>
    <row r="101" spans="1:14" ht="28.8" x14ac:dyDescent="0.3">
      <c r="A101" s="17"/>
      <c r="B101" s="23" t="s">
        <v>2262</v>
      </c>
      <c r="C101" s="17"/>
      <c r="D101" s="17"/>
      <c r="E101" s="17"/>
      <c r="F101" s="17"/>
      <c r="G101" s="18">
        <v>2000</v>
      </c>
      <c r="H101" s="17"/>
      <c r="I101" s="542">
        <v>3000</v>
      </c>
      <c r="J101" s="782"/>
      <c r="K101" s="23"/>
    </row>
    <row r="102" spans="1:14" x14ac:dyDescent="0.3">
      <c r="A102" s="775">
        <v>11</v>
      </c>
      <c r="B102" s="886" t="s">
        <v>2266</v>
      </c>
      <c r="C102" s="887"/>
      <c r="D102" s="887"/>
      <c r="E102" s="887"/>
      <c r="F102" s="887"/>
      <c r="G102" s="887"/>
      <c r="H102" s="887"/>
      <c r="I102" s="887"/>
      <c r="J102" s="887"/>
      <c r="K102" s="887"/>
      <c r="L102" s="887"/>
      <c r="M102" s="888"/>
    </row>
    <row r="103" spans="1:14" ht="28.8" x14ac:dyDescent="0.3">
      <c r="A103" s="17"/>
      <c r="B103" s="23" t="s">
        <v>2262</v>
      </c>
      <c r="C103" s="17"/>
      <c r="D103" s="17"/>
      <c r="E103" s="17"/>
      <c r="F103" s="17"/>
      <c r="G103" s="18">
        <v>5000</v>
      </c>
      <c r="H103" s="18">
        <v>4000</v>
      </c>
      <c r="I103" s="542">
        <v>3000</v>
      </c>
      <c r="J103" s="542">
        <v>1000</v>
      </c>
      <c r="K103" s="78">
        <v>1000</v>
      </c>
      <c r="N103" s="18"/>
    </row>
  </sheetData>
  <mergeCells count="24">
    <mergeCell ref="C65:D65"/>
    <mergeCell ref="E65:F65"/>
    <mergeCell ref="G65:H65"/>
    <mergeCell ref="B5:J5"/>
    <mergeCell ref="B12:J12"/>
    <mergeCell ref="B16:J16"/>
    <mergeCell ref="B24:J24"/>
    <mergeCell ref="B34:J34"/>
    <mergeCell ref="B42:M42"/>
    <mergeCell ref="B45:M45"/>
    <mergeCell ref="B58:M58"/>
    <mergeCell ref="B60:M60"/>
    <mergeCell ref="A64:I64"/>
    <mergeCell ref="J64:K64"/>
    <mergeCell ref="B86:K86"/>
    <mergeCell ref="B88:M88"/>
    <mergeCell ref="B100:M100"/>
    <mergeCell ref="B102:M102"/>
    <mergeCell ref="B67:K67"/>
    <mergeCell ref="B71:K71"/>
    <mergeCell ref="B75:K75"/>
    <mergeCell ref="B78:K78"/>
    <mergeCell ref="B81:K81"/>
    <mergeCell ref="B84:K84"/>
  </mergeCells>
  <pageMargins left="0.7" right="0.7" top="0.75" bottom="0.75" header="0.3" footer="0.3"/>
  <pageSetup paperSize="9" scale="75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5431D-E7F8-449F-9FB1-FB0C2425A4D5}">
  <sheetPr>
    <pageSetUpPr fitToPage="1"/>
  </sheetPr>
  <dimension ref="A1:P26"/>
  <sheetViews>
    <sheetView topLeftCell="B10" workbookViewId="0">
      <selection activeCell="D26" sqref="D26"/>
    </sheetView>
  </sheetViews>
  <sheetFormatPr defaultRowHeight="14.4" x14ac:dyDescent="0.3"/>
  <cols>
    <col min="2" max="2" width="36.88671875" customWidth="1"/>
    <col min="3" max="3" width="14.44140625" customWidth="1"/>
    <col min="4" max="4" width="13.44140625" customWidth="1"/>
    <col min="5" max="5" width="18.44140625" customWidth="1"/>
    <col min="6" max="6" width="13.88671875" customWidth="1"/>
    <col min="7" max="7" width="14.44140625" customWidth="1"/>
    <col min="8" max="8" width="13.88671875" customWidth="1"/>
    <col min="9" max="9" width="13.109375" customWidth="1"/>
    <col min="10" max="10" width="9.44140625" customWidth="1"/>
    <col min="11" max="11" width="10.44140625" customWidth="1"/>
    <col min="12" max="12" width="13" customWidth="1"/>
    <col min="13" max="13" width="11.5546875" customWidth="1"/>
    <col min="14" max="15" width="11.109375" customWidth="1"/>
    <col min="16" max="16" width="9.5546875" customWidth="1"/>
  </cols>
  <sheetData>
    <row r="1" spans="1:16" x14ac:dyDescent="0.3">
      <c r="A1" t="s">
        <v>188</v>
      </c>
    </row>
    <row r="3" spans="1:16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1"/>
      <c r="L3" s="31"/>
      <c r="M3" s="30"/>
      <c r="N3" s="30"/>
      <c r="O3" s="30"/>
    </row>
    <row r="4" spans="1:16" x14ac:dyDescent="0.3">
      <c r="A4" s="33"/>
      <c r="B4" s="908"/>
      <c r="C4" s="34" t="s">
        <v>1</v>
      </c>
      <c r="D4" s="35" t="s">
        <v>2</v>
      </c>
      <c r="E4" s="36" t="s">
        <v>3</v>
      </c>
      <c r="F4" s="36" t="s">
        <v>4</v>
      </c>
      <c r="G4" s="36" t="s">
        <v>5</v>
      </c>
      <c r="H4" s="36" t="s">
        <v>6</v>
      </c>
      <c r="I4" s="37" t="s">
        <v>7</v>
      </c>
      <c r="J4" s="37" t="s">
        <v>8</v>
      </c>
      <c r="K4" s="37" t="s">
        <v>9</v>
      </c>
      <c r="L4" s="37" t="s">
        <v>10</v>
      </c>
      <c r="M4" s="38"/>
      <c r="N4" s="40"/>
      <c r="O4" s="40"/>
    </row>
    <row r="5" spans="1:16" ht="97.2" x14ac:dyDescent="0.3">
      <c r="A5" s="41" t="s">
        <v>189</v>
      </c>
      <c r="B5" s="909"/>
      <c r="C5" s="42" t="s">
        <v>190</v>
      </c>
      <c r="D5" s="36" t="s">
        <v>12</v>
      </c>
      <c r="E5" s="36" t="s">
        <v>13</v>
      </c>
      <c r="F5" s="36" t="s">
        <v>14</v>
      </c>
      <c r="G5" s="36" t="s">
        <v>15</v>
      </c>
      <c r="H5" s="36" t="s">
        <v>191</v>
      </c>
      <c r="I5" s="43" t="s">
        <v>17</v>
      </c>
      <c r="J5" s="43" t="s">
        <v>18</v>
      </c>
      <c r="K5" s="43" t="s">
        <v>19</v>
      </c>
      <c r="L5" s="43" t="s">
        <v>192</v>
      </c>
      <c r="M5" s="36" t="s">
        <v>193</v>
      </c>
      <c r="N5" s="89"/>
      <c r="O5" s="89"/>
    </row>
    <row r="6" spans="1:16" ht="28.8" customHeight="1" x14ac:dyDescent="0.3">
      <c r="A6" s="44"/>
      <c r="B6" s="88" t="s">
        <v>194</v>
      </c>
      <c r="C6" s="90">
        <v>7412400</v>
      </c>
      <c r="D6" s="91">
        <f>SUM(E6:L6)</f>
        <v>8998568.040000001</v>
      </c>
      <c r="E6" s="90">
        <v>308980</v>
      </c>
      <c r="F6" s="90">
        <f>1607+645483</f>
        <v>647090</v>
      </c>
      <c r="G6" s="90">
        <f>10053+3549+16386+9706+14099+2081+22910+16910+87202</f>
        <v>182896</v>
      </c>
      <c r="H6" s="90">
        <v>0</v>
      </c>
      <c r="I6" s="90">
        <f>2938+35536+30505+40539+53149</f>
        <v>162667</v>
      </c>
      <c r="J6" s="90">
        <v>8170.39</v>
      </c>
      <c r="K6" s="90">
        <v>0</v>
      </c>
      <c r="L6" s="90">
        <v>7688764.6500000004</v>
      </c>
      <c r="M6" s="92">
        <v>50</v>
      </c>
      <c r="N6" s="93"/>
      <c r="O6" s="93"/>
    </row>
    <row r="7" spans="1:16" x14ac:dyDescent="0.3">
      <c r="A7" s="19"/>
      <c r="B7" s="23" t="s">
        <v>195</v>
      </c>
      <c r="C7" s="49">
        <v>120000</v>
      </c>
      <c r="D7" s="19"/>
      <c r="E7" s="50"/>
      <c r="F7" s="50"/>
      <c r="G7" s="50"/>
      <c r="H7" s="50"/>
      <c r="I7" s="50"/>
      <c r="J7" s="50"/>
      <c r="K7" s="50"/>
      <c r="L7" s="50"/>
      <c r="M7" s="49"/>
      <c r="N7" s="30"/>
      <c r="O7" s="30"/>
    </row>
    <row r="8" spans="1:16" x14ac:dyDescent="0.3">
      <c r="A8" s="19"/>
      <c r="B8" s="23" t="s">
        <v>196</v>
      </c>
      <c r="C8" s="19"/>
      <c r="D8" s="19"/>
      <c r="E8" s="50"/>
      <c r="F8" s="50"/>
      <c r="G8" s="50"/>
      <c r="H8" s="50"/>
      <c r="I8" s="50"/>
      <c r="J8" s="50"/>
      <c r="K8" s="50"/>
      <c r="L8" s="50"/>
      <c r="M8" s="49"/>
      <c r="N8" s="30"/>
      <c r="O8" s="30"/>
    </row>
    <row r="9" spans="1:16" x14ac:dyDescent="0.3">
      <c r="A9" s="19"/>
      <c r="B9" s="23"/>
      <c r="C9" s="19"/>
      <c r="D9" s="19"/>
      <c r="E9" s="50"/>
      <c r="F9" s="50"/>
      <c r="G9" s="50"/>
      <c r="H9" s="50"/>
      <c r="I9" s="50"/>
      <c r="J9" s="50"/>
      <c r="K9" s="50"/>
      <c r="L9" s="50"/>
      <c r="M9" s="49"/>
      <c r="N9" s="30"/>
      <c r="O9" s="30"/>
    </row>
    <row r="10" spans="1:16" x14ac:dyDescent="0.3">
      <c r="A10" s="30"/>
      <c r="B10" s="56"/>
      <c r="C10" s="30"/>
      <c r="D10" s="30"/>
      <c r="E10" s="94"/>
      <c r="F10" s="94"/>
      <c r="G10" s="94"/>
      <c r="H10" s="94"/>
      <c r="I10" s="94"/>
      <c r="J10" s="94"/>
      <c r="K10" s="94"/>
      <c r="L10" s="94"/>
      <c r="M10" s="55"/>
      <c r="N10" s="30"/>
      <c r="O10" s="30"/>
    </row>
    <row r="11" spans="1:16" x14ac:dyDescent="0.3">
      <c r="A11" s="30"/>
      <c r="B11" s="95" t="s">
        <v>197</v>
      </c>
      <c r="C11" s="30"/>
      <c r="D11" s="30"/>
      <c r="E11" s="30"/>
      <c r="F11" s="30"/>
      <c r="G11" s="30"/>
      <c r="H11" s="30"/>
      <c r="I11" s="30"/>
      <c r="J11" s="95"/>
      <c r="K11" s="30"/>
      <c r="L11" s="30"/>
      <c r="M11" s="30"/>
      <c r="N11" s="30"/>
      <c r="O11" s="30"/>
    </row>
    <row r="12" spans="1:16" ht="72.900000000000006" customHeight="1" x14ac:dyDescent="0.3">
      <c r="A12" s="17" t="s">
        <v>189</v>
      </c>
      <c r="B12" s="23" t="s">
        <v>198</v>
      </c>
      <c r="C12" s="23" t="s">
        <v>199</v>
      </c>
      <c r="D12" s="23" t="s">
        <v>200</v>
      </c>
      <c r="E12" s="23" t="s">
        <v>201</v>
      </c>
      <c r="F12" s="23" t="s">
        <v>202</v>
      </c>
      <c r="G12" s="23" t="s">
        <v>53</v>
      </c>
      <c r="H12" s="23" t="s">
        <v>203</v>
      </c>
      <c r="I12" s="23" t="s">
        <v>204</v>
      </c>
      <c r="J12" s="40"/>
      <c r="K12" s="89"/>
      <c r="L12" s="96"/>
      <c r="M12" s="96"/>
      <c r="N12" s="96"/>
      <c r="O12" s="96"/>
    </row>
    <row r="13" spans="1:16" x14ac:dyDescent="0.3">
      <c r="A13" s="17" t="s">
        <v>69</v>
      </c>
      <c r="B13" s="23" t="s">
        <v>205</v>
      </c>
      <c r="C13" s="23">
        <v>2000</v>
      </c>
      <c r="D13" s="23"/>
      <c r="E13" s="78"/>
      <c r="F13" s="78"/>
      <c r="G13" s="23">
        <v>6177</v>
      </c>
      <c r="H13" s="97">
        <v>4</v>
      </c>
      <c r="I13" s="98">
        <v>7412400</v>
      </c>
      <c r="K13" s="99"/>
      <c r="L13" s="24"/>
      <c r="M13" s="24"/>
      <c r="N13" s="24"/>
      <c r="O13" s="24"/>
    </row>
    <row r="14" spans="1:16" x14ac:dyDescent="0.3">
      <c r="B14" s="56"/>
      <c r="D14" s="56"/>
      <c r="K14" s="1"/>
      <c r="L14" s="1"/>
      <c r="M14" s="1"/>
      <c r="N14" s="1"/>
      <c r="O14" s="1"/>
    </row>
    <row r="15" spans="1:16" ht="15" thickBot="1" x14ac:dyDescent="0.35">
      <c r="A15" t="s">
        <v>206</v>
      </c>
      <c r="B15" s="320" t="s">
        <v>607</v>
      </c>
      <c r="D15" s="56"/>
      <c r="K15" s="1"/>
      <c r="L15" s="1"/>
      <c r="M15" s="1"/>
      <c r="N15" s="1"/>
      <c r="O15" s="1"/>
    </row>
    <row r="16" spans="1:16" ht="15" thickBot="1" x14ac:dyDescent="0.35">
      <c r="A16" s="872" t="s">
        <v>37</v>
      </c>
      <c r="B16" s="873"/>
      <c r="C16" s="873"/>
      <c r="D16" s="873"/>
      <c r="E16" s="873"/>
      <c r="F16" s="873"/>
      <c r="G16" s="873"/>
      <c r="H16" s="873"/>
      <c r="I16" s="874"/>
      <c r="J16" s="872" t="s">
        <v>38</v>
      </c>
      <c r="K16" s="873"/>
      <c r="L16" s="873"/>
      <c r="M16" s="873"/>
      <c r="N16" s="873"/>
      <c r="O16" s="873"/>
      <c r="P16" s="874"/>
    </row>
    <row r="17" spans="1:16" ht="97.2" thickBot="1" x14ac:dyDescent="0.35">
      <c r="A17" s="100"/>
      <c r="B17" s="101" t="s">
        <v>40</v>
      </c>
      <c r="C17" s="899" t="s">
        <v>41</v>
      </c>
      <c r="D17" s="900"/>
      <c r="E17" s="901" t="s">
        <v>42</v>
      </c>
      <c r="F17" s="902"/>
      <c r="G17" s="899" t="s">
        <v>43</v>
      </c>
      <c r="H17" s="900"/>
      <c r="I17" s="7" t="s">
        <v>207</v>
      </c>
      <c r="J17" s="7" t="s">
        <v>208</v>
      </c>
      <c r="K17" s="102" t="s">
        <v>209</v>
      </c>
      <c r="L17" s="8" t="s">
        <v>45</v>
      </c>
      <c r="M17" s="7" t="s">
        <v>210</v>
      </c>
      <c r="N17" s="7" t="s">
        <v>211</v>
      </c>
      <c r="O17" s="7" t="s">
        <v>47</v>
      </c>
      <c r="P17" s="6" t="s">
        <v>212</v>
      </c>
    </row>
    <row r="18" spans="1:16" x14ac:dyDescent="0.3">
      <c r="A18" s="9"/>
      <c r="B18" s="10"/>
      <c r="C18" s="11" t="s">
        <v>48</v>
      </c>
      <c r="D18" s="12" t="s">
        <v>213</v>
      </c>
      <c r="E18" s="13" t="s">
        <v>48</v>
      </c>
      <c r="F18" s="13" t="s">
        <v>214</v>
      </c>
      <c r="G18" s="12" t="s">
        <v>48</v>
      </c>
      <c r="H18" s="12" t="s">
        <v>213</v>
      </c>
      <c r="I18" s="14"/>
      <c r="J18" s="103"/>
      <c r="K18" s="104"/>
      <c r="L18" s="12"/>
      <c r="M18" s="12"/>
      <c r="N18" s="12"/>
      <c r="O18" s="12"/>
      <c r="P18" s="15"/>
    </row>
    <row r="19" spans="1:16" x14ac:dyDescent="0.3">
      <c r="A19" s="105"/>
      <c r="B19" s="106" t="s">
        <v>215</v>
      </c>
      <c r="C19" s="107">
        <v>50000</v>
      </c>
      <c r="D19" s="107">
        <v>50000</v>
      </c>
      <c r="E19" s="107">
        <v>50000</v>
      </c>
      <c r="F19" s="107">
        <v>50000</v>
      </c>
      <c r="G19" s="107">
        <v>50000</v>
      </c>
      <c r="H19" s="107">
        <v>50000</v>
      </c>
      <c r="I19" s="108">
        <v>10000</v>
      </c>
      <c r="J19" s="108">
        <v>20000</v>
      </c>
      <c r="K19" s="109">
        <v>15000</v>
      </c>
      <c r="L19" s="108">
        <v>2500</v>
      </c>
      <c r="M19" s="108">
        <v>2000</v>
      </c>
      <c r="N19" s="108">
        <v>2000</v>
      </c>
      <c r="O19" s="108">
        <v>2000</v>
      </c>
      <c r="P19" s="108">
        <v>2000</v>
      </c>
    </row>
    <row r="20" spans="1:16" x14ac:dyDescent="0.3">
      <c r="A20" s="105"/>
      <c r="B20" s="106" t="s">
        <v>195</v>
      </c>
      <c r="C20" s="107"/>
      <c r="D20" s="107"/>
      <c r="E20" s="107"/>
      <c r="F20" s="107"/>
      <c r="G20" s="107"/>
      <c r="H20" s="107"/>
      <c r="I20" s="108"/>
      <c r="J20" s="108"/>
      <c r="K20" s="109"/>
      <c r="L20" s="108"/>
      <c r="M20" s="108"/>
      <c r="N20" s="108"/>
      <c r="O20" s="108"/>
      <c r="P20" s="108"/>
    </row>
    <row r="21" spans="1:16" x14ac:dyDescent="0.3">
      <c r="A21" s="105"/>
      <c r="B21" s="106" t="s">
        <v>216</v>
      </c>
      <c r="C21" s="107"/>
      <c r="D21" s="107"/>
      <c r="E21" s="107"/>
      <c r="F21" s="107"/>
      <c r="G21" s="107"/>
      <c r="H21" s="107"/>
      <c r="I21" s="108"/>
      <c r="J21" s="108"/>
      <c r="K21" s="109"/>
      <c r="L21" s="108"/>
      <c r="M21" s="108"/>
      <c r="N21" s="108"/>
      <c r="O21" s="108"/>
      <c r="P21" s="108"/>
    </row>
    <row r="22" spans="1:16" x14ac:dyDescent="0.3">
      <c r="B22" s="56"/>
      <c r="C22" s="81"/>
      <c r="D22" s="110"/>
      <c r="E22" s="81"/>
      <c r="F22" s="81"/>
      <c r="G22" s="81"/>
      <c r="H22" s="81"/>
      <c r="I22" s="81"/>
      <c r="J22" s="81"/>
      <c r="K22" s="111"/>
      <c r="L22" s="111"/>
      <c r="M22" s="111"/>
      <c r="N22" s="111"/>
      <c r="O22" s="111"/>
      <c r="P22" s="81"/>
    </row>
    <row r="23" spans="1:16" x14ac:dyDescent="0.3">
      <c r="B23" s="56"/>
      <c r="D23" s="112" t="s">
        <v>217</v>
      </c>
      <c r="E23" t="s">
        <v>218</v>
      </c>
      <c r="K23" s="1"/>
      <c r="L23" s="1"/>
      <c r="M23" s="1"/>
      <c r="N23" s="1"/>
      <c r="O23" s="1"/>
    </row>
    <row r="24" spans="1:16" x14ac:dyDescent="0.3">
      <c r="B24" s="56"/>
      <c r="D24" s="56"/>
      <c r="K24" s="1"/>
      <c r="L24" s="1"/>
      <c r="M24" s="1"/>
      <c r="N24" s="1"/>
      <c r="O24" s="1"/>
    </row>
    <row r="25" spans="1:16" x14ac:dyDescent="0.3">
      <c r="A25" s="112"/>
      <c r="C25" s="113"/>
    </row>
    <row r="26" spans="1:16" x14ac:dyDescent="0.3">
      <c r="A26" s="112"/>
      <c r="C26" s="113"/>
      <c r="L26" s="26"/>
    </row>
  </sheetData>
  <mergeCells count="6">
    <mergeCell ref="B4:B5"/>
    <mergeCell ref="A16:I16"/>
    <mergeCell ref="J16:P16"/>
    <mergeCell ref="C17:D17"/>
    <mergeCell ref="E17:F17"/>
    <mergeCell ref="G17:H17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18FEF-839E-482B-9F5E-13C86071D575}">
  <sheetPr>
    <pageSetUpPr fitToPage="1"/>
  </sheetPr>
  <dimension ref="A1:T18"/>
  <sheetViews>
    <sheetView workbookViewId="0">
      <selection activeCell="O15" sqref="O15"/>
    </sheetView>
  </sheetViews>
  <sheetFormatPr defaultRowHeight="14.4" x14ac:dyDescent="0.3"/>
  <cols>
    <col min="2" max="2" width="12.88671875" customWidth="1"/>
    <col min="3" max="3" width="13" customWidth="1"/>
    <col min="4" max="4" width="22.5546875" customWidth="1"/>
    <col min="5" max="5" width="18" customWidth="1"/>
    <col min="7" max="7" width="12.88671875" customWidth="1"/>
    <col min="10" max="10" width="13.109375" bestFit="1" customWidth="1"/>
    <col min="12" max="12" width="11.109375" customWidth="1"/>
    <col min="17" max="17" width="13.88671875" customWidth="1"/>
  </cols>
  <sheetData>
    <row r="1" spans="1:20" x14ac:dyDescent="0.3">
      <c r="A1" t="s">
        <v>219</v>
      </c>
    </row>
    <row r="5" spans="1:20" ht="43.2" x14ac:dyDescent="0.3">
      <c r="A5" s="17" t="s">
        <v>137</v>
      </c>
      <c r="B5" s="23" t="s">
        <v>138</v>
      </c>
      <c r="C5" s="23" t="s">
        <v>139</v>
      </c>
      <c r="D5" s="23" t="s">
        <v>140</v>
      </c>
      <c r="E5" s="23" t="s">
        <v>141</v>
      </c>
      <c r="F5" s="23" t="s">
        <v>142</v>
      </c>
      <c r="G5" s="23" t="s">
        <v>143</v>
      </c>
      <c r="H5" s="23" t="s">
        <v>144</v>
      </c>
      <c r="I5" s="23" t="s">
        <v>145</v>
      </c>
      <c r="J5" s="23" t="s">
        <v>146</v>
      </c>
      <c r="K5" s="23" t="s">
        <v>147</v>
      </c>
      <c r="L5" s="23" t="s">
        <v>220</v>
      </c>
      <c r="M5" s="23" t="s">
        <v>148</v>
      </c>
      <c r="N5" s="23" t="s">
        <v>149</v>
      </c>
      <c r="O5" s="23" t="s">
        <v>150</v>
      </c>
      <c r="P5" s="23" t="s">
        <v>151</v>
      </c>
      <c r="Q5" s="23" t="s">
        <v>152</v>
      </c>
      <c r="R5" s="23" t="s">
        <v>153</v>
      </c>
      <c r="S5" s="23" t="s">
        <v>154</v>
      </c>
      <c r="T5" s="23" t="s">
        <v>221</v>
      </c>
    </row>
    <row r="6" spans="1:20" ht="57.6" x14ac:dyDescent="0.3">
      <c r="A6" s="17">
        <v>1</v>
      </c>
      <c r="B6" s="17" t="s">
        <v>222</v>
      </c>
      <c r="C6" s="17" t="s">
        <v>156</v>
      </c>
      <c r="D6" s="17" t="s">
        <v>223</v>
      </c>
      <c r="E6" s="23" t="s">
        <v>224</v>
      </c>
      <c r="F6" s="17">
        <v>85</v>
      </c>
      <c r="G6" s="17">
        <v>1560</v>
      </c>
      <c r="H6" s="17">
        <v>5</v>
      </c>
      <c r="I6" s="17"/>
      <c r="J6" s="114">
        <v>20560</v>
      </c>
      <c r="K6" s="79">
        <v>2014</v>
      </c>
      <c r="L6" s="115">
        <v>43647</v>
      </c>
      <c r="M6" s="79" t="s">
        <v>159</v>
      </c>
      <c r="N6" s="79" t="s">
        <v>159</v>
      </c>
      <c r="O6" s="79" t="s">
        <v>159</v>
      </c>
      <c r="P6" s="116" t="s">
        <v>160</v>
      </c>
      <c r="Q6" s="117" t="s">
        <v>225</v>
      </c>
      <c r="R6" s="79" t="s">
        <v>159</v>
      </c>
      <c r="S6" s="79" t="s">
        <v>159</v>
      </c>
      <c r="T6" s="79" t="s">
        <v>160</v>
      </c>
    </row>
    <row r="7" spans="1:20" ht="72" x14ac:dyDescent="0.3">
      <c r="A7" s="17">
        <v>2</v>
      </c>
      <c r="B7" s="17" t="s">
        <v>226</v>
      </c>
      <c r="C7" s="23" t="s">
        <v>227</v>
      </c>
      <c r="D7" s="17" t="s">
        <v>228</v>
      </c>
      <c r="E7" s="23" t="s">
        <v>229</v>
      </c>
      <c r="F7" s="17">
        <v>259</v>
      </c>
      <c r="G7" s="17">
        <v>7790</v>
      </c>
      <c r="H7" s="17">
        <v>3</v>
      </c>
      <c r="I7" s="17">
        <v>18000</v>
      </c>
      <c r="J7" s="118">
        <v>265420</v>
      </c>
      <c r="K7" s="79">
        <v>2004</v>
      </c>
      <c r="L7" s="115">
        <v>43647</v>
      </c>
      <c r="M7" s="79" t="s">
        <v>159</v>
      </c>
      <c r="N7" s="79" t="s">
        <v>159</v>
      </c>
      <c r="O7" s="79" t="s">
        <v>159</v>
      </c>
      <c r="P7" s="116" t="s">
        <v>160</v>
      </c>
      <c r="Q7" s="117" t="s">
        <v>230</v>
      </c>
      <c r="R7" s="79" t="s">
        <v>159</v>
      </c>
      <c r="S7" s="79" t="s">
        <v>159</v>
      </c>
      <c r="T7" s="79" t="s">
        <v>160</v>
      </c>
    </row>
    <row r="8" spans="1:20" ht="57.6" x14ac:dyDescent="0.3">
      <c r="A8" s="17">
        <v>3</v>
      </c>
      <c r="B8" s="17" t="s">
        <v>231</v>
      </c>
      <c r="C8" s="17" t="s">
        <v>156</v>
      </c>
      <c r="D8" s="17" t="s">
        <v>232</v>
      </c>
      <c r="E8" s="23" t="s">
        <v>233</v>
      </c>
      <c r="F8" s="17">
        <v>96</v>
      </c>
      <c r="G8" s="17">
        <v>1499</v>
      </c>
      <c r="H8" s="17">
        <v>5</v>
      </c>
      <c r="I8" s="17"/>
      <c r="J8" s="114">
        <v>23000</v>
      </c>
      <c r="K8" s="79">
        <v>2019</v>
      </c>
      <c r="L8" s="115">
        <v>43647</v>
      </c>
      <c r="M8" s="79" t="s">
        <v>159</v>
      </c>
      <c r="N8" s="79" t="s">
        <v>159</v>
      </c>
      <c r="O8" s="79" t="s">
        <v>159</v>
      </c>
      <c r="P8" s="116" t="s">
        <v>160</v>
      </c>
      <c r="Q8" s="117" t="s">
        <v>225</v>
      </c>
      <c r="R8" s="79" t="s">
        <v>159</v>
      </c>
      <c r="S8" s="79" t="s">
        <v>159</v>
      </c>
      <c r="T8" s="79" t="s">
        <v>160</v>
      </c>
    </row>
    <row r="10" spans="1:20" x14ac:dyDescent="0.3">
      <c r="B10" s="119" t="s">
        <v>234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</row>
    <row r="14" spans="1:20" x14ac:dyDescent="0.3">
      <c r="G14" s="113"/>
    </row>
    <row r="15" spans="1:20" ht="46.2" x14ac:dyDescent="0.85">
      <c r="C15" s="120"/>
      <c r="G15" s="121"/>
    </row>
    <row r="16" spans="1:20" x14ac:dyDescent="0.3">
      <c r="G16" s="113"/>
    </row>
    <row r="17" spans="7:7" x14ac:dyDescent="0.3">
      <c r="G17" s="122"/>
    </row>
    <row r="18" spans="7:7" x14ac:dyDescent="0.3">
      <c r="G18" s="122"/>
    </row>
  </sheetData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07F7B-DD09-4428-800E-43D2DE863958}">
  <sheetPr>
    <pageSetUpPr fitToPage="1"/>
  </sheetPr>
  <dimension ref="A1:M13"/>
  <sheetViews>
    <sheetView zoomScale="85" zoomScaleNormal="85" workbookViewId="0">
      <selection activeCell="P8" sqref="P8"/>
    </sheetView>
  </sheetViews>
  <sheetFormatPr defaultRowHeight="14.4" x14ac:dyDescent="0.3"/>
  <cols>
    <col min="1" max="1" width="6.109375" customWidth="1"/>
    <col min="2" max="2" width="28.109375" customWidth="1"/>
    <col min="3" max="3" width="13.88671875" customWidth="1"/>
    <col min="4" max="4" width="15.5546875" customWidth="1"/>
    <col min="5" max="5" width="14.5546875" customWidth="1"/>
    <col min="6" max="6" width="16.5546875" customWidth="1"/>
    <col min="7" max="7" width="14.5546875" customWidth="1"/>
    <col min="8" max="8" width="13.44140625" customWidth="1"/>
    <col min="9" max="9" width="13.5546875" customWidth="1"/>
    <col min="10" max="10" width="12.88671875" customWidth="1"/>
    <col min="11" max="11" width="13.5546875" customWidth="1"/>
    <col min="12" max="12" width="13.44140625" bestFit="1" customWidth="1"/>
    <col min="26" max="26" width="9.5546875" bestFit="1" customWidth="1"/>
    <col min="256" max="256" width="6.109375" customWidth="1"/>
    <col min="257" max="257" width="28.109375" customWidth="1"/>
    <col min="258" max="258" width="13.88671875" customWidth="1"/>
    <col min="259" max="259" width="14.5546875" customWidth="1"/>
    <col min="260" max="260" width="15.5546875" customWidth="1"/>
    <col min="261" max="261" width="14.5546875" customWidth="1"/>
    <col min="262" max="262" width="16.5546875" customWidth="1"/>
    <col min="263" max="263" width="14.5546875" customWidth="1"/>
    <col min="264" max="264" width="11.5546875" customWidth="1"/>
    <col min="265" max="265" width="12.88671875" customWidth="1"/>
    <col min="266" max="267" width="13.5546875" customWidth="1"/>
    <col min="268" max="268" width="13.44140625" bestFit="1" customWidth="1"/>
    <col min="512" max="512" width="6.109375" customWidth="1"/>
    <col min="513" max="513" width="28.109375" customWidth="1"/>
    <col min="514" max="514" width="13.88671875" customWidth="1"/>
    <col min="515" max="515" width="14.5546875" customWidth="1"/>
    <col min="516" max="516" width="15.5546875" customWidth="1"/>
    <col min="517" max="517" width="14.5546875" customWidth="1"/>
    <col min="518" max="518" width="16.5546875" customWidth="1"/>
    <col min="519" max="519" width="14.5546875" customWidth="1"/>
    <col min="520" max="520" width="11.5546875" customWidth="1"/>
    <col min="521" max="521" width="12.88671875" customWidth="1"/>
    <col min="522" max="523" width="13.5546875" customWidth="1"/>
    <col min="524" max="524" width="13.44140625" bestFit="1" customWidth="1"/>
    <col min="768" max="768" width="6.109375" customWidth="1"/>
    <col min="769" max="769" width="28.109375" customWidth="1"/>
    <col min="770" max="770" width="13.88671875" customWidth="1"/>
    <col min="771" max="771" width="14.5546875" customWidth="1"/>
    <col min="772" max="772" width="15.5546875" customWidth="1"/>
    <col min="773" max="773" width="14.5546875" customWidth="1"/>
    <col min="774" max="774" width="16.5546875" customWidth="1"/>
    <col min="775" max="775" width="14.5546875" customWidth="1"/>
    <col min="776" max="776" width="11.5546875" customWidth="1"/>
    <col min="777" max="777" width="12.88671875" customWidth="1"/>
    <col min="778" max="779" width="13.5546875" customWidth="1"/>
    <col min="780" max="780" width="13.44140625" bestFit="1" customWidth="1"/>
    <col min="1024" max="1024" width="6.109375" customWidth="1"/>
    <col min="1025" max="1025" width="28.109375" customWidth="1"/>
    <col min="1026" max="1026" width="13.88671875" customWidth="1"/>
    <col min="1027" max="1027" width="14.5546875" customWidth="1"/>
    <col min="1028" max="1028" width="15.5546875" customWidth="1"/>
    <col min="1029" max="1029" width="14.5546875" customWidth="1"/>
    <col min="1030" max="1030" width="16.5546875" customWidth="1"/>
    <col min="1031" max="1031" width="14.5546875" customWidth="1"/>
    <col min="1032" max="1032" width="11.5546875" customWidth="1"/>
    <col min="1033" max="1033" width="12.88671875" customWidth="1"/>
    <col min="1034" max="1035" width="13.5546875" customWidth="1"/>
    <col min="1036" max="1036" width="13.44140625" bestFit="1" customWidth="1"/>
    <col min="1280" max="1280" width="6.109375" customWidth="1"/>
    <col min="1281" max="1281" width="28.109375" customWidth="1"/>
    <col min="1282" max="1282" width="13.88671875" customWidth="1"/>
    <col min="1283" max="1283" width="14.5546875" customWidth="1"/>
    <col min="1284" max="1284" width="15.5546875" customWidth="1"/>
    <col min="1285" max="1285" width="14.5546875" customWidth="1"/>
    <col min="1286" max="1286" width="16.5546875" customWidth="1"/>
    <col min="1287" max="1287" width="14.5546875" customWidth="1"/>
    <col min="1288" max="1288" width="11.5546875" customWidth="1"/>
    <col min="1289" max="1289" width="12.88671875" customWidth="1"/>
    <col min="1290" max="1291" width="13.5546875" customWidth="1"/>
    <col min="1292" max="1292" width="13.44140625" bestFit="1" customWidth="1"/>
    <col min="1536" max="1536" width="6.109375" customWidth="1"/>
    <col min="1537" max="1537" width="28.109375" customWidth="1"/>
    <col min="1538" max="1538" width="13.88671875" customWidth="1"/>
    <col min="1539" max="1539" width="14.5546875" customWidth="1"/>
    <col min="1540" max="1540" width="15.5546875" customWidth="1"/>
    <col min="1541" max="1541" width="14.5546875" customWidth="1"/>
    <col min="1542" max="1542" width="16.5546875" customWidth="1"/>
    <col min="1543" max="1543" width="14.5546875" customWidth="1"/>
    <col min="1544" max="1544" width="11.5546875" customWidth="1"/>
    <col min="1545" max="1545" width="12.88671875" customWidth="1"/>
    <col min="1546" max="1547" width="13.5546875" customWidth="1"/>
    <col min="1548" max="1548" width="13.44140625" bestFit="1" customWidth="1"/>
    <col min="1792" max="1792" width="6.109375" customWidth="1"/>
    <col min="1793" max="1793" width="28.109375" customWidth="1"/>
    <col min="1794" max="1794" width="13.88671875" customWidth="1"/>
    <col min="1795" max="1795" width="14.5546875" customWidth="1"/>
    <col min="1796" max="1796" width="15.5546875" customWidth="1"/>
    <col min="1797" max="1797" width="14.5546875" customWidth="1"/>
    <col min="1798" max="1798" width="16.5546875" customWidth="1"/>
    <col min="1799" max="1799" width="14.5546875" customWidth="1"/>
    <col min="1800" max="1800" width="11.5546875" customWidth="1"/>
    <col min="1801" max="1801" width="12.88671875" customWidth="1"/>
    <col min="1802" max="1803" width="13.5546875" customWidth="1"/>
    <col min="1804" max="1804" width="13.44140625" bestFit="1" customWidth="1"/>
    <col min="2048" max="2048" width="6.109375" customWidth="1"/>
    <col min="2049" max="2049" width="28.109375" customWidth="1"/>
    <col min="2050" max="2050" width="13.88671875" customWidth="1"/>
    <col min="2051" max="2051" width="14.5546875" customWidth="1"/>
    <col min="2052" max="2052" width="15.5546875" customWidth="1"/>
    <col min="2053" max="2053" width="14.5546875" customWidth="1"/>
    <col min="2054" max="2054" width="16.5546875" customWidth="1"/>
    <col min="2055" max="2055" width="14.5546875" customWidth="1"/>
    <col min="2056" max="2056" width="11.5546875" customWidth="1"/>
    <col min="2057" max="2057" width="12.88671875" customWidth="1"/>
    <col min="2058" max="2059" width="13.5546875" customWidth="1"/>
    <col min="2060" max="2060" width="13.44140625" bestFit="1" customWidth="1"/>
    <col min="2304" max="2304" width="6.109375" customWidth="1"/>
    <col min="2305" max="2305" width="28.109375" customWidth="1"/>
    <col min="2306" max="2306" width="13.88671875" customWidth="1"/>
    <col min="2307" max="2307" width="14.5546875" customWidth="1"/>
    <col min="2308" max="2308" width="15.5546875" customWidth="1"/>
    <col min="2309" max="2309" width="14.5546875" customWidth="1"/>
    <col min="2310" max="2310" width="16.5546875" customWidth="1"/>
    <col min="2311" max="2311" width="14.5546875" customWidth="1"/>
    <col min="2312" max="2312" width="11.5546875" customWidth="1"/>
    <col min="2313" max="2313" width="12.88671875" customWidth="1"/>
    <col min="2314" max="2315" width="13.5546875" customWidth="1"/>
    <col min="2316" max="2316" width="13.44140625" bestFit="1" customWidth="1"/>
    <col min="2560" max="2560" width="6.109375" customWidth="1"/>
    <col min="2561" max="2561" width="28.109375" customWidth="1"/>
    <col min="2562" max="2562" width="13.88671875" customWidth="1"/>
    <col min="2563" max="2563" width="14.5546875" customWidth="1"/>
    <col min="2564" max="2564" width="15.5546875" customWidth="1"/>
    <col min="2565" max="2565" width="14.5546875" customWidth="1"/>
    <col min="2566" max="2566" width="16.5546875" customWidth="1"/>
    <col min="2567" max="2567" width="14.5546875" customWidth="1"/>
    <col min="2568" max="2568" width="11.5546875" customWidth="1"/>
    <col min="2569" max="2569" width="12.88671875" customWidth="1"/>
    <col min="2570" max="2571" width="13.5546875" customWidth="1"/>
    <col min="2572" max="2572" width="13.44140625" bestFit="1" customWidth="1"/>
    <col min="2816" max="2816" width="6.109375" customWidth="1"/>
    <col min="2817" max="2817" width="28.109375" customWidth="1"/>
    <col min="2818" max="2818" width="13.88671875" customWidth="1"/>
    <col min="2819" max="2819" width="14.5546875" customWidth="1"/>
    <col min="2820" max="2820" width="15.5546875" customWidth="1"/>
    <col min="2821" max="2821" width="14.5546875" customWidth="1"/>
    <col min="2822" max="2822" width="16.5546875" customWidth="1"/>
    <col min="2823" max="2823" width="14.5546875" customWidth="1"/>
    <col min="2824" max="2824" width="11.5546875" customWidth="1"/>
    <col min="2825" max="2825" width="12.88671875" customWidth="1"/>
    <col min="2826" max="2827" width="13.5546875" customWidth="1"/>
    <col min="2828" max="2828" width="13.44140625" bestFit="1" customWidth="1"/>
    <col min="3072" max="3072" width="6.109375" customWidth="1"/>
    <col min="3073" max="3073" width="28.109375" customWidth="1"/>
    <col min="3074" max="3074" width="13.88671875" customWidth="1"/>
    <col min="3075" max="3075" width="14.5546875" customWidth="1"/>
    <col min="3076" max="3076" width="15.5546875" customWidth="1"/>
    <col min="3077" max="3077" width="14.5546875" customWidth="1"/>
    <col min="3078" max="3078" width="16.5546875" customWidth="1"/>
    <col min="3079" max="3079" width="14.5546875" customWidth="1"/>
    <col min="3080" max="3080" width="11.5546875" customWidth="1"/>
    <col min="3081" max="3081" width="12.88671875" customWidth="1"/>
    <col min="3082" max="3083" width="13.5546875" customWidth="1"/>
    <col min="3084" max="3084" width="13.44140625" bestFit="1" customWidth="1"/>
    <col min="3328" max="3328" width="6.109375" customWidth="1"/>
    <col min="3329" max="3329" width="28.109375" customWidth="1"/>
    <col min="3330" max="3330" width="13.88671875" customWidth="1"/>
    <col min="3331" max="3331" width="14.5546875" customWidth="1"/>
    <col min="3332" max="3332" width="15.5546875" customWidth="1"/>
    <col min="3333" max="3333" width="14.5546875" customWidth="1"/>
    <col min="3334" max="3334" width="16.5546875" customWidth="1"/>
    <col min="3335" max="3335" width="14.5546875" customWidth="1"/>
    <col min="3336" max="3336" width="11.5546875" customWidth="1"/>
    <col min="3337" max="3337" width="12.88671875" customWidth="1"/>
    <col min="3338" max="3339" width="13.5546875" customWidth="1"/>
    <col min="3340" max="3340" width="13.44140625" bestFit="1" customWidth="1"/>
    <col min="3584" max="3584" width="6.109375" customWidth="1"/>
    <col min="3585" max="3585" width="28.109375" customWidth="1"/>
    <col min="3586" max="3586" width="13.88671875" customWidth="1"/>
    <col min="3587" max="3587" width="14.5546875" customWidth="1"/>
    <col min="3588" max="3588" width="15.5546875" customWidth="1"/>
    <col min="3589" max="3589" width="14.5546875" customWidth="1"/>
    <col min="3590" max="3590" width="16.5546875" customWidth="1"/>
    <col min="3591" max="3591" width="14.5546875" customWidth="1"/>
    <col min="3592" max="3592" width="11.5546875" customWidth="1"/>
    <col min="3593" max="3593" width="12.88671875" customWidth="1"/>
    <col min="3594" max="3595" width="13.5546875" customWidth="1"/>
    <col min="3596" max="3596" width="13.44140625" bestFit="1" customWidth="1"/>
    <col min="3840" max="3840" width="6.109375" customWidth="1"/>
    <col min="3841" max="3841" width="28.109375" customWidth="1"/>
    <col min="3842" max="3842" width="13.88671875" customWidth="1"/>
    <col min="3843" max="3843" width="14.5546875" customWidth="1"/>
    <col min="3844" max="3844" width="15.5546875" customWidth="1"/>
    <col min="3845" max="3845" width="14.5546875" customWidth="1"/>
    <col min="3846" max="3846" width="16.5546875" customWidth="1"/>
    <col min="3847" max="3847" width="14.5546875" customWidth="1"/>
    <col min="3848" max="3848" width="11.5546875" customWidth="1"/>
    <col min="3849" max="3849" width="12.88671875" customWidth="1"/>
    <col min="3850" max="3851" width="13.5546875" customWidth="1"/>
    <col min="3852" max="3852" width="13.44140625" bestFit="1" customWidth="1"/>
    <col min="4096" max="4096" width="6.109375" customWidth="1"/>
    <col min="4097" max="4097" width="28.109375" customWidth="1"/>
    <col min="4098" max="4098" width="13.88671875" customWidth="1"/>
    <col min="4099" max="4099" width="14.5546875" customWidth="1"/>
    <col min="4100" max="4100" width="15.5546875" customWidth="1"/>
    <col min="4101" max="4101" width="14.5546875" customWidth="1"/>
    <col min="4102" max="4102" width="16.5546875" customWidth="1"/>
    <col min="4103" max="4103" width="14.5546875" customWidth="1"/>
    <col min="4104" max="4104" width="11.5546875" customWidth="1"/>
    <col min="4105" max="4105" width="12.88671875" customWidth="1"/>
    <col min="4106" max="4107" width="13.5546875" customWidth="1"/>
    <col min="4108" max="4108" width="13.44140625" bestFit="1" customWidth="1"/>
    <col min="4352" max="4352" width="6.109375" customWidth="1"/>
    <col min="4353" max="4353" width="28.109375" customWidth="1"/>
    <col min="4354" max="4354" width="13.88671875" customWidth="1"/>
    <col min="4355" max="4355" width="14.5546875" customWidth="1"/>
    <col min="4356" max="4356" width="15.5546875" customWidth="1"/>
    <col min="4357" max="4357" width="14.5546875" customWidth="1"/>
    <col min="4358" max="4358" width="16.5546875" customWidth="1"/>
    <col min="4359" max="4359" width="14.5546875" customWidth="1"/>
    <col min="4360" max="4360" width="11.5546875" customWidth="1"/>
    <col min="4361" max="4361" width="12.88671875" customWidth="1"/>
    <col min="4362" max="4363" width="13.5546875" customWidth="1"/>
    <col min="4364" max="4364" width="13.44140625" bestFit="1" customWidth="1"/>
    <col min="4608" max="4608" width="6.109375" customWidth="1"/>
    <col min="4609" max="4609" width="28.109375" customWidth="1"/>
    <col min="4610" max="4610" width="13.88671875" customWidth="1"/>
    <col min="4611" max="4611" width="14.5546875" customWidth="1"/>
    <col min="4612" max="4612" width="15.5546875" customWidth="1"/>
    <col min="4613" max="4613" width="14.5546875" customWidth="1"/>
    <col min="4614" max="4614" width="16.5546875" customWidth="1"/>
    <col min="4615" max="4615" width="14.5546875" customWidth="1"/>
    <col min="4616" max="4616" width="11.5546875" customWidth="1"/>
    <col min="4617" max="4617" width="12.88671875" customWidth="1"/>
    <col min="4618" max="4619" width="13.5546875" customWidth="1"/>
    <col min="4620" max="4620" width="13.44140625" bestFit="1" customWidth="1"/>
    <col min="4864" max="4864" width="6.109375" customWidth="1"/>
    <col min="4865" max="4865" width="28.109375" customWidth="1"/>
    <col min="4866" max="4866" width="13.88671875" customWidth="1"/>
    <col min="4867" max="4867" width="14.5546875" customWidth="1"/>
    <col min="4868" max="4868" width="15.5546875" customWidth="1"/>
    <col min="4869" max="4869" width="14.5546875" customWidth="1"/>
    <col min="4870" max="4870" width="16.5546875" customWidth="1"/>
    <col min="4871" max="4871" width="14.5546875" customWidth="1"/>
    <col min="4872" max="4872" width="11.5546875" customWidth="1"/>
    <col min="4873" max="4873" width="12.88671875" customWidth="1"/>
    <col min="4874" max="4875" width="13.5546875" customWidth="1"/>
    <col min="4876" max="4876" width="13.44140625" bestFit="1" customWidth="1"/>
    <col min="5120" max="5120" width="6.109375" customWidth="1"/>
    <col min="5121" max="5121" width="28.109375" customWidth="1"/>
    <col min="5122" max="5122" width="13.88671875" customWidth="1"/>
    <col min="5123" max="5123" width="14.5546875" customWidth="1"/>
    <col min="5124" max="5124" width="15.5546875" customWidth="1"/>
    <col min="5125" max="5125" width="14.5546875" customWidth="1"/>
    <col min="5126" max="5126" width="16.5546875" customWidth="1"/>
    <col min="5127" max="5127" width="14.5546875" customWidth="1"/>
    <col min="5128" max="5128" width="11.5546875" customWidth="1"/>
    <col min="5129" max="5129" width="12.88671875" customWidth="1"/>
    <col min="5130" max="5131" width="13.5546875" customWidth="1"/>
    <col min="5132" max="5132" width="13.44140625" bestFit="1" customWidth="1"/>
    <col min="5376" max="5376" width="6.109375" customWidth="1"/>
    <col min="5377" max="5377" width="28.109375" customWidth="1"/>
    <col min="5378" max="5378" width="13.88671875" customWidth="1"/>
    <col min="5379" max="5379" width="14.5546875" customWidth="1"/>
    <col min="5380" max="5380" width="15.5546875" customWidth="1"/>
    <col min="5381" max="5381" width="14.5546875" customWidth="1"/>
    <col min="5382" max="5382" width="16.5546875" customWidth="1"/>
    <col min="5383" max="5383" width="14.5546875" customWidth="1"/>
    <col min="5384" max="5384" width="11.5546875" customWidth="1"/>
    <col min="5385" max="5385" width="12.88671875" customWidth="1"/>
    <col min="5386" max="5387" width="13.5546875" customWidth="1"/>
    <col min="5388" max="5388" width="13.44140625" bestFit="1" customWidth="1"/>
    <col min="5632" max="5632" width="6.109375" customWidth="1"/>
    <col min="5633" max="5633" width="28.109375" customWidth="1"/>
    <col min="5634" max="5634" width="13.88671875" customWidth="1"/>
    <col min="5635" max="5635" width="14.5546875" customWidth="1"/>
    <col min="5636" max="5636" width="15.5546875" customWidth="1"/>
    <col min="5637" max="5637" width="14.5546875" customWidth="1"/>
    <col min="5638" max="5638" width="16.5546875" customWidth="1"/>
    <col min="5639" max="5639" width="14.5546875" customWidth="1"/>
    <col min="5640" max="5640" width="11.5546875" customWidth="1"/>
    <col min="5641" max="5641" width="12.88671875" customWidth="1"/>
    <col min="5642" max="5643" width="13.5546875" customWidth="1"/>
    <col min="5644" max="5644" width="13.44140625" bestFit="1" customWidth="1"/>
    <col min="5888" max="5888" width="6.109375" customWidth="1"/>
    <col min="5889" max="5889" width="28.109375" customWidth="1"/>
    <col min="5890" max="5890" width="13.88671875" customWidth="1"/>
    <col min="5891" max="5891" width="14.5546875" customWidth="1"/>
    <col min="5892" max="5892" width="15.5546875" customWidth="1"/>
    <col min="5893" max="5893" width="14.5546875" customWidth="1"/>
    <col min="5894" max="5894" width="16.5546875" customWidth="1"/>
    <col min="5895" max="5895" width="14.5546875" customWidth="1"/>
    <col min="5896" max="5896" width="11.5546875" customWidth="1"/>
    <col min="5897" max="5897" width="12.88671875" customWidth="1"/>
    <col min="5898" max="5899" width="13.5546875" customWidth="1"/>
    <col min="5900" max="5900" width="13.44140625" bestFit="1" customWidth="1"/>
    <col min="6144" max="6144" width="6.109375" customWidth="1"/>
    <col min="6145" max="6145" width="28.109375" customWidth="1"/>
    <col min="6146" max="6146" width="13.88671875" customWidth="1"/>
    <col min="6147" max="6147" width="14.5546875" customWidth="1"/>
    <col min="6148" max="6148" width="15.5546875" customWidth="1"/>
    <col min="6149" max="6149" width="14.5546875" customWidth="1"/>
    <col min="6150" max="6150" width="16.5546875" customWidth="1"/>
    <col min="6151" max="6151" width="14.5546875" customWidth="1"/>
    <col min="6152" max="6152" width="11.5546875" customWidth="1"/>
    <col min="6153" max="6153" width="12.88671875" customWidth="1"/>
    <col min="6154" max="6155" width="13.5546875" customWidth="1"/>
    <col min="6156" max="6156" width="13.44140625" bestFit="1" customWidth="1"/>
    <col min="6400" max="6400" width="6.109375" customWidth="1"/>
    <col min="6401" max="6401" width="28.109375" customWidth="1"/>
    <col min="6402" max="6402" width="13.88671875" customWidth="1"/>
    <col min="6403" max="6403" width="14.5546875" customWidth="1"/>
    <col min="6404" max="6404" width="15.5546875" customWidth="1"/>
    <col min="6405" max="6405" width="14.5546875" customWidth="1"/>
    <col min="6406" max="6406" width="16.5546875" customWidth="1"/>
    <col min="6407" max="6407" width="14.5546875" customWidth="1"/>
    <col min="6408" max="6408" width="11.5546875" customWidth="1"/>
    <col min="6409" max="6409" width="12.88671875" customWidth="1"/>
    <col min="6410" max="6411" width="13.5546875" customWidth="1"/>
    <col min="6412" max="6412" width="13.44140625" bestFit="1" customWidth="1"/>
    <col min="6656" max="6656" width="6.109375" customWidth="1"/>
    <col min="6657" max="6657" width="28.109375" customWidth="1"/>
    <col min="6658" max="6658" width="13.88671875" customWidth="1"/>
    <col min="6659" max="6659" width="14.5546875" customWidth="1"/>
    <col min="6660" max="6660" width="15.5546875" customWidth="1"/>
    <col min="6661" max="6661" width="14.5546875" customWidth="1"/>
    <col min="6662" max="6662" width="16.5546875" customWidth="1"/>
    <col min="6663" max="6663" width="14.5546875" customWidth="1"/>
    <col min="6664" max="6664" width="11.5546875" customWidth="1"/>
    <col min="6665" max="6665" width="12.88671875" customWidth="1"/>
    <col min="6666" max="6667" width="13.5546875" customWidth="1"/>
    <col min="6668" max="6668" width="13.44140625" bestFit="1" customWidth="1"/>
    <col min="6912" max="6912" width="6.109375" customWidth="1"/>
    <col min="6913" max="6913" width="28.109375" customWidth="1"/>
    <col min="6914" max="6914" width="13.88671875" customWidth="1"/>
    <col min="6915" max="6915" width="14.5546875" customWidth="1"/>
    <col min="6916" max="6916" width="15.5546875" customWidth="1"/>
    <col min="6917" max="6917" width="14.5546875" customWidth="1"/>
    <col min="6918" max="6918" width="16.5546875" customWidth="1"/>
    <col min="6919" max="6919" width="14.5546875" customWidth="1"/>
    <col min="6920" max="6920" width="11.5546875" customWidth="1"/>
    <col min="6921" max="6921" width="12.88671875" customWidth="1"/>
    <col min="6922" max="6923" width="13.5546875" customWidth="1"/>
    <col min="6924" max="6924" width="13.44140625" bestFit="1" customWidth="1"/>
    <col min="7168" max="7168" width="6.109375" customWidth="1"/>
    <col min="7169" max="7169" width="28.109375" customWidth="1"/>
    <col min="7170" max="7170" width="13.88671875" customWidth="1"/>
    <col min="7171" max="7171" width="14.5546875" customWidth="1"/>
    <col min="7172" max="7172" width="15.5546875" customWidth="1"/>
    <col min="7173" max="7173" width="14.5546875" customWidth="1"/>
    <col min="7174" max="7174" width="16.5546875" customWidth="1"/>
    <col min="7175" max="7175" width="14.5546875" customWidth="1"/>
    <col min="7176" max="7176" width="11.5546875" customWidth="1"/>
    <col min="7177" max="7177" width="12.88671875" customWidth="1"/>
    <col min="7178" max="7179" width="13.5546875" customWidth="1"/>
    <col min="7180" max="7180" width="13.44140625" bestFit="1" customWidth="1"/>
    <col min="7424" max="7424" width="6.109375" customWidth="1"/>
    <col min="7425" max="7425" width="28.109375" customWidth="1"/>
    <col min="7426" max="7426" width="13.88671875" customWidth="1"/>
    <col min="7427" max="7427" width="14.5546875" customWidth="1"/>
    <col min="7428" max="7428" width="15.5546875" customWidth="1"/>
    <col min="7429" max="7429" width="14.5546875" customWidth="1"/>
    <col min="7430" max="7430" width="16.5546875" customWidth="1"/>
    <col min="7431" max="7431" width="14.5546875" customWidth="1"/>
    <col min="7432" max="7432" width="11.5546875" customWidth="1"/>
    <col min="7433" max="7433" width="12.88671875" customWidth="1"/>
    <col min="7434" max="7435" width="13.5546875" customWidth="1"/>
    <col min="7436" max="7436" width="13.44140625" bestFit="1" customWidth="1"/>
    <col min="7680" max="7680" width="6.109375" customWidth="1"/>
    <col min="7681" max="7681" width="28.109375" customWidth="1"/>
    <col min="7682" max="7682" width="13.88671875" customWidth="1"/>
    <col min="7683" max="7683" width="14.5546875" customWidth="1"/>
    <col min="7684" max="7684" width="15.5546875" customWidth="1"/>
    <col min="7685" max="7685" width="14.5546875" customWidth="1"/>
    <col min="7686" max="7686" width="16.5546875" customWidth="1"/>
    <col min="7687" max="7687" width="14.5546875" customWidth="1"/>
    <col min="7688" max="7688" width="11.5546875" customWidth="1"/>
    <col min="7689" max="7689" width="12.88671875" customWidth="1"/>
    <col min="7690" max="7691" width="13.5546875" customWidth="1"/>
    <col min="7692" max="7692" width="13.44140625" bestFit="1" customWidth="1"/>
    <col min="7936" max="7936" width="6.109375" customWidth="1"/>
    <col min="7937" max="7937" width="28.109375" customWidth="1"/>
    <col min="7938" max="7938" width="13.88671875" customWidth="1"/>
    <col min="7939" max="7939" width="14.5546875" customWidth="1"/>
    <col min="7940" max="7940" width="15.5546875" customWidth="1"/>
    <col min="7941" max="7941" width="14.5546875" customWidth="1"/>
    <col min="7942" max="7942" width="16.5546875" customWidth="1"/>
    <col min="7943" max="7943" width="14.5546875" customWidth="1"/>
    <col min="7944" max="7944" width="11.5546875" customWidth="1"/>
    <col min="7945" max="7945" width="12.88671875" customWidth="1"/>
    <col min="7946" max="7947" width="13.5546875" customWidth="1"/>
    <col min="7948" max="7948" width="13.44140625" bestFit="1" customWidth="1"/>
    <col min="8192" max="8192" width="6.109375" customWidth="1"/>
    <col min="8193" max="8193" width="28.109375" customWidth="1"/>
    <col min="8194" max="8194" width="13.88671875" customWidth="1"/>
    <col min="8195" max="8195" width="14.5546875" customWidth="1"/>
    <col min="8196" max="8196" width="15.5546875" customWidth="1"/>
    <col min="8197" max="8197" width="14.5546875" customWidth="1"/>
    <col min="8198" max="8198" width="16.5546875" customWidth="1"/>
    <col min="8199" max="8199" width="14.5546875" customWidth="1"/>
    <col min="8200" max="8200" width="11.5546875" customWidth="1"/>
    <col min="8201" max="8201" width="12.88671875" customWidth="1"/>
    <col min="8202" max="8203" width="13.5546875" customWidth="1"/>
    <col min="8204" max="8204" width="13.44140625" bestFit="1" customWidth="1"/>
    <col min="8448" max="8448" width="6.109375" customWidth="1"/>
    <col min="8449" max="8449" width="28.109375" customWidth="1"/>
    <col min="8450" max="8450" width="13.88671875" customWidth="1"/>
    <col min="8451" max="8451" width="14.5546875" customWidth="1"/>
    <col min="8452" max="8452" width="15.5546875" customWidth="1"/>
    <col min="8453" max="8453" width="14.5546875" customWidth="1"/>
    <col min="8454" max="8454" width="16.5546875" customWidth="1"/>
    <col min="8455" max="8455" width="14.5546875" customWidth="1"/>
    <col min="8456" max="8456" width="11.5546875" customWidth="1"/>
    <col min="8457" max="8457" width="12.88671875" customWidth="1"/>
    <col min="8458" max="8459" width="13.5546875" customWidth="1"/>
    <col min="8460" max="8460" width="13.44140625" bestFit="1" customWidth="1"/>
    <col min="8704" max="8704" width="6.109375" customWidth="1"/>
    <col min="8705" max="8705" width="28.109375" customWidth="1"/>
    <col min="8706" max="8706" width="13.88671875" customWidth="1"/>
    <col min="8707" max="8707" width="14.5546875" customWidth="1"/>
    <col min="8708" max="8708" width="15.5546875" customWidth="1"/>
    <col min="8709" max="8709" width="14.5546875" customWidth="1"/>
    <col min="8710" max="8710" width="16.5546875" customWidth="1"/>
    <col min="8711" max="8711" width="14.5546875" customWidth="1"/>
    <col min="8712" max="8712" width="11.5546875" customWidth="1"/>
    <col min="8713" max="8713" width="12.88671875" customWidth="1"/>
    <col min="8714" max="8715" width="13.5546875" customWidth="1"/>
    <col min="8716" max="8716" width="13.44140625" bestFit="1" customWidth="1"/>
    <col min="8960" max="8960" width="6.109375" customWidth="1"/>
    <col min="8961" max="8961" width="28.109375" customWidth="1"/>
    <col min="8962" max="8962" width="13.88671875" customWidth="1"/>
    <col min="8963" max="8963" width="14.5546875" customWidth="1"/>
    <col min="8964" max="8964" width="15.5546875" customWidth="1"/>
    <col min="8965" max="8965" width="14.5546875" customWidth="1"/>
    <col min="8966" max="8966" width="16.5546875" customWidth="1"/>
    <col min="8967" max="8967" width="14.5546875" customWidth="1"/>
    <col min="8968" max="8968" width="11.5546875" customWidth="1"/>
    <col min="8969" max="8969" width="12.88671875" customWidth="1"/>
    <col min="8970" max="8971" width="13.5546875" customWidth="1"/>
    <col min="8972" max="8972" width="13.44140625" bestFit="1" customWidth="1"/>
    <col min="9216" max="9216" width="6.109375" customWidth="1"/>
    <col min="9217" max="9217" width="28.109375" customWidth="1"/>
    <col min="9218" max="9218" width="13.88671875" customWidth="1"/>
    <col min="9219" max="9219" width="14.5546875" customWidth="1"/>
    <col min="9220" max="9220" width="15.5546875" customWidth="1"/>
    <col min="9221" max="9221" width="14.5546875" customWidth="1"/>
    <col min="9222" max="9222" width="16.5546875" customWidth="1"/>
    <col min="9223" max="9223" width="14.5546875" customWidth="1"/>
    <col min="9224" max="9224" width="11.5546875" customWidth="1"/>
    <col min="9225" max="9225" width="12.88671875" customWidth="1"/>
    <col min="9226" max="9227" width="13.5546875" customWidth="1"/>
    <col min="9228" max="9228" width="13.44140625" bestFit="1" customWidth="1"/>
    <col min="9472" max="9472" width="6.109375" customWidth="1"/>
    <col min="9473" max="9473" width="28.109375" customWidth="1"/>
    <col min="9474" max="9474" width="13.88671875" customWidth="1"/>
    <col min="9475" max="9475" width="14.5546875" customWidth="1"/>
    <col min="9476" max="9476" width="15.5546875" customWidth="1"/>
    <col min="9477" max="9477" width="14.5546875" customWidth="1"/>
    <col min="9478" max="9478" width="16.5546875" customWidth="1"/>
    <col min="9479" max="9479" width="14.5546875" customWidth="1"/>
    <col min="9480" max="9480" width="11.5546875" customWidth="1"/>
    <col min="9481" max="9481" width="12.88671875" customWidth="1"/>
    <col min="9482" max="9483" width="13.5546875" customWidth="1"/>
    <col min="9484" max="9484" width="13.44140625" bestFit="1" customWidth="1"/>
    <col min="9728" max="9728" width="6.109375" customWidth="1"/>
    <col min="9729" max="9729" width="28.109375" customWidth="1"/>
    <col min="9730" max="9730" width="13.88671875" customWidth="1"/>
    <col min="9731" max="9731" width="14.5546875" customWidth="1"/>
    <col min="9732" max="9732" width="15.5546875" customWidth="1"/>
    <col min="9733" max="9733" width="14.5546875" customWidth="1"/>
    <col min="9734" max="9734" width="16.5546875" customWidth="1"/>
    <col min="9735" max="9735" width="14.5546875" customWidth="1"/>
    <col min="9736" max="9736" width="11.5546875" customWidth="1"/>
    <col min="9737" max="9737" width="12.88671875" customWidth="1"/>
    <col min="9738" max="9739" width="13.5546875" customWidth="1"/>
    <col min="9740" max="9740" width="13.44140625" bestFit="1" customWidth="1"/>
    <col min="9984" max="9984" width="6.109375" customWidth="1"/>
    <col min="9985" max="9985" width="28.109375" customWidth="1"/>
    <col min="9986" max="9986" width="13.88671875" customWidth="1"/>
    <col min="9987" max="9987" width="14.5546875" customWidth="1"/>
    <col min="9988" max="9988" width="15.5546875" customWidth="1"/>
    <col min="9989" max="9989" width="14.5546875" customWidth="1"/>
    <col min="9990" max="9990" width="16.5546875" customWidth="1"/>
    <col min="9991" max="9991" width="14.5546875" customWidth="1"/>
    <col min="9992" max="9992" width="11.5546875" customWidth="1"/>
    <col min="9993" max="9993" width="12.88671875" customWidth="1"/>
    <col min="9994" max="9995" width="13.5546875" customWidth="1"/>
    <col min="9996" max="9996" width="13.44140625" bestFit="1" customWidth="1"/>
    <col min="10240" max="10240" width="6.109375" customWidth="1"/>
    <col min="10241" max="10241" width="28.109375" customWidth="1"/>
    <col min="10242" max="10242" width="13.88671875" customWidth="1"/>
    <col min="10243" max="10243" width="14.5546875" customWidth="1"/>
    <col min="10244" max="10244" width="15.5546875" customWidth="1"/>
    <col min="10245" max="10245" width="14.5546875" customWidth="1"/>
    <col min="10246" max="10246" width="16.5546875" customWidth="1"/>
    <col min="10247" max="10247" width="14.5546875" customWidth="1"/>
    <col min="10248" max="10248" width="11.5546875" customWidth="1"/>
    <col min="10249" max="10249" width="12.88671875" customWidth="1"/>
    <col min="10250" max="10251" width="13.5546875" customWidth="1"/>
    <col min="10252" max="10252" width="13.44140625" bestFit="1" customWidth="1"/>
    <col min="10496" max="10496" width="6.109375" customWidth="1"/>
    <col min="10497" max="10497" width="28.109375" customWidth="1"/>
    <col min="10498" max="10498" width="13.88671875" customWidth="1"/>
    <col min="10499" max="10499" width="14.5546875" customWidth="1"/>
    <col min="10500" max="10500" width="15.5546875" customWidth="1"/>
    <col min="10501" max="10501" width="14.5546875" customWidth="1"/>
    <col min="10502" max="10502" width="16.5546875" customWidth="1"/>
    <col min="10503" max="10503" width="14.5546875" customWidth="1"/>
    <col min="10504" max="10504" width="11.5546875" customWidth="1"/>
    <col min="10505" max="10505" width="12.88671875" customWidth="1"/>
    <col min="10506" max="10507" width="13.5546875" customWidth="1"/>
    <col min="10508" max="10508" width="13.44140625" bestFit="1" customWidth="1"/>
    <col min="10752" max="10752" width="6.109375" customWidth="1"/>
    <col min="10753" max="10753" width="28.109375" customWidth="1"/>
    <col min="10754" max="10754" width="13.88671875" customWidth="1"/>
    <col min="10755" max="10755" width="14.5546875" customWidth="1"/>
    <col min="10756" max="10756" width="15.5546875" customWidth="1"/>
    <col min="10757" max="10757" width="14.5546875" customWidth="1"/>
    <col min="10758" max="10758" width="16.5546875" customWidth="1"/>
    <col min="10759" max="10759" width="14.5546875" customWidth="1"/>
    <col min="10760" max="10760" width="11.5546875" customWidth="1"/>
    <col min="10761" max="10761" width="12.88671875" customWidth="1"/>
    <col min="10762" max="10763" width="13.5546875" customWidth="1"/>
    <col min="10764" max="10764" width="13.44140625" bestFit="1" customWidth="1"/>
    <col min="11008" max="11008" width="6.109375" customWidth="1"/>
    <col min="11009" max="11009" width="28.109375" customWidth="1"/>
    <col min="11010" max="11010" width="13.88671875" customWidth="1"/>
    <col min="11011" max="11011" width="14.5546875" customWidth="1"/>
    <col min="11012" max="11012" width="15.5546875" customWidth="1"/>
    <col min="11013" max="11013" width="14.5546875" customWidth="1"/>
    <col min="11014" max="11014" width="16.5546875" customWidth="1"/>
    <col min="11015" max="11015" width="14.5546875" customWidth="1"/>
    <col min="11016" max="11016" width="11.5546875" customWidth="1"/>
    <col min="11017" max="11017" width="12.88671875" customWidth="1"/>
    <col min="11018" max="11019" width="13.5546875" customWidth="1"/>
    <col min="11020" max="11020" width="13.44140625" bestFit="1" customWidth="1"/>
    <col min="11264" max="11264" width="6.109375" customWidth="1"/>
    <col min="11265" max="11265" width="28.109375" customWidth="1"/>
    <col min="11266" max="11266" width="13.88671875" customWidth="1"/>
    <col min="11267" max="11267" width="14.5546875" customWidth="1"/>
    <col min="11268" max="11268" width="15.5546875" customWidth="1"/>
    <col min="11269" max="11269" width="14.5546875" customWidth="1"/>
    <col min="11270" max="11270" width="16.5546875" customWidth="1"/>
    <col min="11271" max="11271" width="14.5546875" customWidth="1"/>
    <col min="11272" max="11272" width="11.5546875" customWidth="1"/>
    <col min="11273" max="11273" width="12.88671875" customWidth="1"/>
    <col min="11274" max="11275" width="13.5546875" customWidth="1"/>
    <col min="11276" max="11276" width="13.44140625" bestFit="1" customWidth="1"/>
    <col min="11520" max="11520" width="6.109375" customWidth="1"/>
    <col min="11521" max="11521" width="28.109375" customWidth="1"/>
    <col min="11522" max="11522" width="13.88671875" customWidth="1"/>
    <col min="11523" max="11523" width="14.5546875" customWidth="1"/>
    <col min="11524" max="11524" width="15.5546875" customWidth="1"/>
    <col min="11525" max="11525" width="14.5546875" customWidth="1"/>
    <col min="11526" max="11526" width="16.5546875" customWidth="1"/>
    <col min="11527" max="11527" width="14.5546875" customWidth="1"/>
    <col min="11528" max="11528" width="11.5546875" customWidth="1"/>
    <col min="11529" max="11529" width="12.88671875" customWidth="1"/>
    <col min="11530" max="11531" width="13.5546875" customWidth="1"/>
    <col min="11532" max="11532" width="13.44140625" bestFit="1" customWidth="1"/>
    <col min="11776" max="11776" width="6.109375" customWidth="1"/>
    <col min="11777" max="11777" width="28.109375" customWidth="1"/>
    <col min="11778" max="11778" width="13.88671875" customWidth="1"/>
    <col min="11779" max="11779" width="14.5546875" customWidth="1"/>
    <col min="11780" max="11780" width="15.5546875" customWidth="1"/>
    <col min="11781" max="11781" width="14.5546875" customWidth="1"/>
    <col min="11782" max="11782" width="16.5546875" customWidth="1"/>
    <col min="11783" max="11783" width="14.5546875" customWidth="1"/>
    <col min="11784" max="11784" width="11.5546875" customWidth="1"/>
    <col min="11785" max="11785" width="12.88671875" customWidth="1"/>
    <col min="11786" max="11787" width="13.5546875" customWidth="1"/>
    <col min="11788" max="11788" width="13.44140625" bestFit="1" customWidth="1"/>
    <col min="12032" max="12032" width="6.109375" customWidth="1"/>
    <col min="12033" max="12033" width="28.109375" customWidth="1"/>
    <col min="12034" max="12034" width="13.88671875" customWidth="1"/>
    <col min="12035" max="12035" width="14.5546875" customWidth="1"/>
    <col min="12036" max="12036" width="15.5546875" customWidth="1"/>
    <col min="12037" max="12037" width="14.5546875" customWidth="1"/>
    <col min="12038" max="12038" width="16.5546875" customWidth="1"/>
    <col min="12039" max="12039" width="14.5546875" customWidth="1"/>
    <col min="12040" max="12040" width="11.5546875" customWidth="1"/>
    <col min="12041" max="12041" width="12.88671875" customWidth="1"/>
    <col min="12042" max="12043" width="13.5546875" customWidth="1"/>
    <col min="12044" max="12044" width="13.44140625" bestFit="1" customWidth="1"/>
    <col min="12288" max="12288" width="6.109375" customWidth="1"/>
    <col min="12289" max="12289" width="28.109375" customWidth="1"/>
    <col min="12290" max="12290" width="13.88671875" customWidth="1"/>
    <col min="12291" max="12291" width="14.5546875" customWidth="1"/>
    <col min="12292" max="12292" width="15.5546875" customWidth="1"/>
    <col min="12293" max="12293" width="14.5546875" customWidth="1"/>
    <col min="12294" max="12294" width="16.5546875" customWidth="1"/>
    <col min="12295" max="12295" width="14.5546875" customWidth="1"/>
    <col min="12296" max="12296" width="11.5546875" customWidth="1"/>
    <col min="12297" max="12297" width="12.88671875" customWidth="1"/>
    <col min="12298" max="12299" width="13.5546875" customWidth="1"/>
    <col min="12300" max="12300" width="13.44140625" bestFit="1" customWidth="1"/>
    <col min="12544" max="12544" width="6.109375" customWidth="1"/>
    <col min="12545" max="12545" width="28.109375" customWidth="1"/>
    <col min="12546" max="12546" width="13.88671875" customWidth="1"/>
    <col min="12547" max="12547" width="14.5546875" customWidth="1"/>
    <col min="12548" max="12548" width="15.5546875" customWidth="1"/>
    <col min="12549" max="12549" width="14.5546875" customWidth="1"/>
    <col min="12550" max="12550" width="16.5546875" customWidth="1"/>
    <col min="12551" max="12551" width="14.5546875" customWidth="1"/>
    <col min="12552" max="12552" width="11.5546875" customWidth="1"/>
    <col min="12553" max="12553" width="12.88671875" customWidth="1"/>
    <col min="12554" max="12555" width="13.5546875" customWidth="1"/>
    <col min="12556" max="12556" width="13.44140625" bestFit="1" customWidth="1"/>
    <col min="12800" max="12800" width="6.109375" customWidth="1"/>
    <col min="12801" max="12801" width="28.109375" customWidth="1"/>
    <col min="12802" max="12802" width="13.88671875" customWidth="1"/>
    <col min="12803" max="12803" width="14.5546875" customWidth="1"/>
    <col min="12804" max="12804" width="15.5546875" customWidth="1"/>
    <col min="12805" max="12805" width="14.5546875" customWidth="1"/>
    <col min="12806" max="12806" width="16.5546875" customWidth="1"/>
    <col min="12807" max="12807" width="14.5546875" customWidth="1"/>
    <col min="12808" max="12808" width="11.5546875" customWidth="1"/>
    <col min="12809" max="12809" width="12.88671875" customWidth="1"/>
    <col min="12810" max="12811" width="13.5546875" customWidth="1"/>
    <col min="12812" max="12812" width="13.44140625" bestFit="1" customWidth="1"/>
    <col min="13056" max="13056" width="6.109375" customWidth="1"/>
    <col min="13057" max="13057" width="28.109375" customWidth="1"/>
    <col min="13058" max="13058" width="13.88671875" customWidth="1"/>
    <col min="13059" max="13059" width="14.5546875" customWidth="1"/>
    <col min="13060" max="13060" width="15.5546875" customWidth="1"/>
    <col min="13061" max="13061" width="14.5546875" customWidth="1"/>
    <col min="13062" max="13062" width="16.5546875" customWidth="1"/>
    <col min="13063" max="13063" width="14.5546875" customWidth="1"/>
    <col min="13064" max="13064" width="11.5546875" customWidth="1"/>
    <col min="13065" max="13065" width="12.88671875" customWidth="1"/>
    <col min="13066" max="13067" width="13.5546875" customWidth="1"/>
    <col min="13068" max="13068" width="13.44140625" bestFit="1" customWidth="1"/>
    <col min="13312" max="13312" width="6.109375" customWidth="1"/>
    <col min="13313" max="13313" width="28.109375" customWidth="1"/>
    <col min="13314" max="13314" width="13.88671875" customWidth="1"/>
    <col min="13315" max="13315" width="14.5546875" customWidth="1"/>
    <col min="13316" max="13316" width="15.5546875" customWidth="1"/>
    <col min="13317" max="13317" width="14.5546875" customWidth="1"/>
    <col min="13318" max="13318" width="16.5546875" customWidth="1"/>
    <col min="13319" max="13319" width="14.5546875" customWidth="1"/>
    <col min="13320" max="13320" width="11.5546875" customWidth="1"/>
    <col min="13321" max="13321" width="12.88671875" customWidth="1"/>
    <col min="13322" max="13323" width="13.5546875" customWidth="1"/>
    <col min="13324" max="13324" width="13.44140625" bestFit="1" customWidth="1"/>
    <col min="13568" max="13568" width="6.109375" customWidth="1"/>
    <col min="13569" max="13569" width="28.109375" customWidth="1"/>
    <col min="13570" max="13570" width="13.88671875" customWidth="1"/>
    <col min="13571" max="13571" width="14.5546875" customWidth="1"/>
    <col min="13572" max="13572" width="15.5546875" customWidth="1"/>
    <col min="13573" max="13573" width="14.5546875" customWidth="1"/>
    <col min="13574" max="13574" width="16.5546875" customWidth="1"/>
    <col min="13575" max="13575" width="14.5546875" customWidth="1"/>
    <col min="13576" max="13576" width="11.5546875" customWidth="1"/>
    <col min="13577" max="13577" width="12.88671875" customWidth="1"/>
    <col min="13578" max="13579" width="13.5546875" customWidth="1"/>
    <col min="13580" max="13580" width="13.44140625" bestFit="1" customWidth="1"/>
    <col min="13824" max="13824" width="6.109375" customWidth="1"/>
    <col min="13825" max="13825" width="28.109375" customWidth="1"/>
    <col min="13826" max="13826" width="13.88671875" customWidth="1"/>
    <col min="13827" max="13827" width="14.5546875" customWidth="1"/>
    <col min="13828" max="13828" width="15.5546875" customWidth="1"/>
    <col min="13829" max="13829" width="14.5546875" customWidth="1"/>
    <col min="13830" max="13830" width="16.5546875" customWidth="1"/>
    <col min="13831" max="13831" width="14.5546875" customWidth="1"/>
    <col min="13832" max="13832" width="11.5546875" customWidth="1"/>
    <col min="13833" max="13833" width="12.88671875" customWidth="1"/>
    <col min="13834" max="13835" width="13.5546875" customWidth="1"/>
    <col min="13836" max="13836" width="13.44140625" bestFit="1" customWidth="1"/>
    <col min="14080" max="14080" width="6.109375" customWidth="1"/>
    <col min="14081" max="14081" width="28.109375" customWidth="1"/>
    <col min="14082" max="14082" width="13.88671875" customWidth="1"/>
    <col min="14083" max="14083" width="14.5546875" customWidth="1"/>
    <col min="14084" max="14084" width="15.5546875" customWidth="1"/>
    <col min="14085" max="14085" width="14.5546875" customWidth="1"/>
    <col min="14086" max="14086" width="16.5546875" customWidth="1"/>
    <col min="14087" max="14087" width="14.5546875" customWidth="1"/>
    <col min="14088" max="14088" width="11.5546875" customWidth="1"/>
    <col min="14089" max="14089" width="12.88671875" customWidth="1"/>
    <col min="14090" max="14091" width="13.5546875" customWidth="1"/>
    <col min="14092" max="14092" width="13.44140625" bestFit="1" customWidth="1"/>
    <col min="14336" max="14336" width="6.109375" customWidth="1"/>
    <col min="14337" max="14337" width="28.109375" customWidth="1"/>
    <col min="14338" max="14338" width="13.88671875" customWidth="1"/>
    <col min="14339" max="14339" width="14.5546875" customWidth="1"/>
    <col min="14340" max="14340" width="15.5546875" customWidth="1"/>
    <col min="14341" max="14341" width="14.5546875" customWidth="1"/>
    <col min="14342" max="14342" width="16.5546875" customWidth="1"/>
    <col min="14343" max="14343" width="14.5546875" customWidth="1"/>
    <col min="14344" max="14344" width="11.5546875" customWidth="1"/>
    <col min="14345" max="14345" width="12.88671875" customWidth="1"/>
    <col min="14346" max="14347" width="13.5546875" customWidth="1"/>
    <col min="14348" max="14348" width="13.44140625" bestFit="1" customWidth="1"/>
    <col min="14592" max="14592" width="6.109375" customWidth="1"/>
    <col min="14593" max="14593" width="28.109375" customWidth="1"/>
    <col min="14594" max="14594" width="13.88671875" customWidth="1"/>
    <col min="14595" max="14595" width="14.5546875" customWidth="1"/>
    <col min="14596" max="14596" width="15.5546875" customWidth="1"/>
    <col min="14597" max="14597" width="14.5546875" customWidth="1"/>
    <col min="14598" max="14598" width="16.5546875" customWidth="1"/>
    <col min="14599" max="14599" width="14.5546875" customWidth="1"/>
    <col min="14600" max="14600" width="11.5546875" customWidth="1"/>
    <col min="14601" max="14601" width="12.88671875" customWidth="1"/>
    <col min="14602" max="14603" width="13.5546875" customWidth="1"/>
    <col min="14604" max="14604" width="13.44140625" bestFit="1" customWidth="1"/>
    <col min="14848" max="14848" width="6.109375" customWidth="1"/>
    <col min="14849" max="14849" width="28.109375" customWidth="1"/>
    <col min="14850" max="14850" width="13.88671875" customWidth="1"/>
    <col min="14851" max="14851" width="14.5546875" customWidth="1"/>
    <col min="14852" max="14852" width="15.5546875" customWidth="1"/>
    <col min="14853" max="14853" width="14.5546875" customWidth="1"/>
    <col min="14854" max="14854" width="16.5546875" customWidth="1"/>
    <col min="14855" max="14855" width="14.5546875" customWidth="1"/>
    <col min="14856" max="14856" width="11.5546875" customWidth="1"/>
    <col min="14857" max="14857" width="12.88671875" customWidth="1"/>
    <col min="14858" max="14859" width="13.5546875" customWidth="1"/>
    <col min="14860" max="14860" width="13.44140625" bestFit="1" customWidth="1"/>
    <col min="15104" max="15104" width="6.109375" customWidth="1"/>
    <col min="15105" max="15105" width="28.109375" customWidth="1"/>
    <col min="15106" max="15106" width="13.88671875" customWidth="1"/>
    <col min="15107" max="15107" width="14.5546875" customWidth="1"/>
    <col min="15108" max="15108" width="15.5546875" customWidth="1"/>
    <col min="15109" max="15109" width="14.5546875" customWidth="1"/>
    <col min="15110" max="15110" width="16.5546875" customWidth="1"/>
    <col min="15111" max="15111" width="14.5546875" customWidth="1"/>
    <col min="15112" max="15112" width="11.5546875" customWidth="1"/>
    <col min="15113" max="15113" width="12.88671875" customWidth="1"/>
    <col min="15114" max="15115" width="13.5546875" customWidth="1"/>
    <col min="15116" max="15116" width="13.44140625" bestFit="1" customWidth="1"/>
    <col min="15360" max="15360" width="6.109375" customWidth="1"/>
    <col min="15361" max="15361" width="28.109375" customWidth="1"/>
    <col min="15362" max="15362" width="13.88671875" customWidth="1"/>
    <col min="15363" max="15363" width="14.5546875" customWidth="1"/>
    <col min="15364" max="15364" width="15.5546875" customWidth="1"/>
    <col min="15365" max="15365" width="14.5546875" customWidth="1"/>
    <col min="15366" max="15366" width="16.5546875" customWidth="1"/>
    <col min="15367" max="15367" width="14.5546875" customWidth="1"/>
    <col min="15368" max="15368" width="11.5546875" customWidth="1"/>
    <col min="15369" max="15369" width="12.88671875" customWidth="1"/>
    <col min="15370" max="15371" width="13.5546875" customWidth="1"/>
    <col min="15372" max="15372" width="13.44140625" bestFit="1" customWidth="1"/>
    <col min="15616" max="15616" width="6.109375" customWidth="1"/>
    <col min="15617" max="15617" width="28.109375" customWidth="1"/>
    <col min="15618" max="15618" width="13.88671875" customWidth="1"/>
    <col min="15619" max="15619" width="14.5546875" customWidth="1"/>
    <col min="15620" max="15620" width="15.5546875" customWidth="1"/>
    <col min="15621" max="15621" width="14.5546875" customWidth="1"/>
    <col min="15622" max="15622" width="16.5546875" customWidth="1"/>
    <col min="15623" max="15623" width="14.5546875" customWidth="1"/>
    <col min="15624" max="15624" width="11.5546875" customWidth="1"/>
    <col min="15625" max="15625" width="12.88671875" customWidth="1"/>
    <col min="15626" max="15627" width="13.5546875" customWidth="1"/>
    <col min="15628" max="15628" width="13.44140625" bestFit="1" customWidth="1"/>
    <col min="15872" max="15872" width="6.109375" customWidth="1"/>
    <col min="15873" max="15873" width="28.109375" customWidth="1"/>
    <col min="15874" max="15874" width="13.88671875" customWidth="1"/>
    <col min="15875" max="15875" width="14.5546875" customWidth="1"/>
    <col min="15876" max="15876" width="15.5546875" customWidth="1"/>
    <col min="15877" max="15877" width="14.5546875" customWidth="1"/>
    <col min="15878" max="15878" width="16.5546875" customWidth="1"/>
    <col min="15879" max="15879" width="14.5546875" customWidth="1"/>
    <col min="15880" max="15880" width="11.5546875" customWidth="1"/>
    <col min="15881" max="15881" width="12.88671875" customWidth="1"/>
    <col min="15882" max="15883" width="13.5546875" customWidth="1"/>
    <col min="15884" max="15884" width="13.44140625" bestFit="1" customWidth="1"/>
    <col min="16128" max="16128" width="6.109375" customWidth="1"/>
    <col min="16129" max="16129" width="28.109375" customWidth="1"/>
    <col min="16130" max="16130" width="13.88671875" customWidth="1"/>
    <col min="16131" max="16131" width="14.5546875" customWidth="1"/>
    <col min="16132" max="16132" width="15.5546875" customWidth="1"/>
    <col min="16133" max="16133" width="14.5546875" customWidth="1"/>
    <col min="16134" max="16134" width="16.5546875" customWidth="1"/>
    <col min="16135" max="16135" width="14.5546875" customWidth="1"/>
    <col min="16136" max="16136" width="11.5546875" customWidth="1"/>
    <col min="16137" max="16137" width="12.88671875" customWidth="1"/>
    <col min="16138" max="16139" width="13.5546875" customWidth="1"/>
    <col min="16140" max="16140" width="13.44140625" bestFit="1" customWidth="1"/>
  </cols>
  <sheetData>
    <row r="1" spans="1:13" ht="18" x14ac:dyDescent="0.35">
      <c r="B1" s="29" t="s">
        <v>235</v>
      </c>
    </row>
    <row r="2" spans="1:13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1"/>
      <c r="L2" s="30"/>
      <c r="M2" s="32"/>
    </row>
    <row r="3" spans="1:13" s="40" customFormat="1" ht="13.8" customHeight="1" x14ac:dyDescent="0.3">
      <c r="A3" s="33"/>
      <c r="B3" s="868" t="s">
        <v>236</v>
      </c>
      <c r="C3" s="34" t="s">
        <v>1</v>
      </c>
      <c r="D3" s="35" t="s">
        <v>2</v>
      </c>
      <c r="E3" s="36" t="s">
        <v>3</v>
      </c>
      <c r="F3" s="36" t="s">
        <v>4</v>
      </c>
      <c r="G3" s="36" t="s">
        <v>5</v>
      </c>
      <c r="H3" s="36" t="s">
        <v>6</v>
      </c>
      <c r="I3" s="37" t="s">
        <v>7</v>
      </c>
      <c r="J3" s="37" t="s">
        <v>8</v>
      </c>
      <c r="K3" s="37" t="s">
        <v>9</v>
      </c>
      <c r="L3" s="38"/>
      <c r="M3" s="39"/>
    </row>
    <row r="4" spans="1:13" ht="121.8" customHeight="1" x14ac:dyDescent="0.3">
      <c r="A4" s="41"/>
      <c r="B4" s="869"/>
      <c r="C4" s="42" t="s">
        <v>190</v>
      </c>
      <c r="D4" s="36" t="s">
        <v>237</v>
      </c>
      <c r="E4" s="36" t="s">
        <v>13</v>
      </c>
      <c r="F4" s="36" t="s">
        <v>14</v>
      </c>
      <c r="G4" s="36" t="s">
        <v>15</v>
      </c>
      <c r="H4" s="36" t="s">
        <v>191</v>
      </c>
      <c r="I4" s="43" t="s">
        <v>17</v>
      </c>
      <c r="J4" s="43" t="s">
        <v>18</v>
      </c>
      <c r="K4" s="43" t="s">
        <v>19</v>
      </c>
      <c r="L4" s="36" t="s">
        <v>193</v>
      </c>
      <c r="M4" s="32"/>
    </row>
    <row r="5" spans="1:13" s="40" customFormat="1" x14ac:dyDescent="0.3">
      <c r="A5" s="44"/>
      <c r="B5" s="123" t="s">
        <v>238</v>
      </c>
      <c r="C5" s="90"/>
      <c r="D5" s="303">
        <v>39000</v>
      </c>
      <c r="E5" s="90"/>
      <c r="F5" s="90">
        <v>15000</v>
      </c>
      <c r="G5" s="90">
        <v>10000</v>
      </c>
      <c r="H5" s="90"/>
      <c r="I5" s="303">
        <v>10000</v>
      </c>
      <c r="J5" s="90">
        <v>4000</v>
      </c>
      <c r="K5" s="90"/>
      <c r="L5" s="92">
        <v>39</v>
      </c>
      <c r="M5" s="39"/>
    </row>
    <row r="6" spans="1:13" x14ac:dyDescent="0.3">
      <c r="A6" s="51"/>
      <c r="B6" s="52"/>
      <c r="C6" s="50"/>
      <c r="D6" s="49"/>
      <c r="E6" s="50"/>
      <c r="F6" s="50"/>
      <c r="G6" s="50"/>
      <c r="H6" s="50"/>
      <c r="I6" s="50"/>
      <c r="J6" s="50"/>
      <c r="K6" s="50"/>
      <c r="L6" s="19"/>
      <c r="M6" s="32"/>
    </row>
    <row r="7" spans="1:13" x14ac:dyDescent="0.3">
      <c r="A7" s="30"/>
      <c r="B7" s="30"/>
      <c r="C7" s="30"/>
      <c r="D7" s="30"/>
      <c r="E7" s="30"/>
      <c r="F7" s="30"/>
      <c r="G7" s="30"/>
      <c r="H7" s="30"/>
      <c r="I7" s="30"/>
      <c r="J7" s="30"/>
      <c r="K7" s="31"/>
      <c r="M7" s="32"/>
    </row>
    <row r="8" spans="1:13" x14ac:dyDescent="0.3">
      <c r="A8" s="30"/>
      <c r="B8" s="30"/>
      <c r="C8" s="30"/>
      <c r="D8" s="30"/>
      <c r="E8" s="30"/>
      <c r="F8" s="30"/>
      <c r="G8" s="30"/>
      <c r="H8" s="30"/>
      <c r="I8" s="30"/>
      <c r="J8" s="30"/>
      <c r="K8" s="31"/>
      <c r="L8" s="30"/>
      <c r="M8" s="32"/>
    </row>
    <row r="9" spans="1:13" ht="38.1" customHeight="1" thickBot="1" x14ac:dyDescent="0.35">
      <c r="A9" t="s">
        <v>36</v>
      </c>
      <c r="B9" s="56"/>
      <c r="D9" s="56"/>
      <c r="K9" s="1"/>
      <c r="L9" s="1"/>
      <c r="M9" s="1"/>
    </row>
    <row r="10" spans="1:13" ht="38.1" customHeight="1" thickBot="1" x14ac:dyDescent="0.35">
      <c r="A10" s="872" t="s">
        <v>37</v>
      </c>
      <c r="B10" s="873"/>
      <c r="C10" s="873"/>
      <c r="D10" s="873"/>
      <c r="E10" s="873"/>
      <c r="F10" s="873"/>
      <c r="G10" s="873"/>
      <c r="H10" s="873"/>
      <c r="I10" s="874"/>
      <c r="J10" s="2"/>
      <c r="K10" s="3" t="s">
        <v>38</v>
      </c>
      <c r="L10" s="4"/>
      <c r="M10" s="5"/>
    </row>
    <row r="11" spans="1:13" ht="75" customHeight="1" thickBot="1" x14ac:dyDescent="0.35">
      <c r="A11" s="100"/>
      <c r="B11" s="101" t="s">
        <v>40</v>
      </c>
      <c r="C11" s="899" t="s">
        <v>41</v>
      </c>
      <c r="D11" s="900"/>
      <c r="E11" s="901" t="s">
        <v>42</v>
      </c>
      <c r="F11" s="902"/>
      <c r="G11" s="899" t="s">
        <v>43</v>
      </c>
      <c r="H11" s="900"/>
      <c r="I11" s="7" t="s">
        <v>239</v>
      </c>
      <c r="J11" s="7" t="s">
        <v>208</v>
      </c>
      <c r="K11" s="8" t="s">
        <v>45</v>
      </c>
      <c r="L11" s="7" t="s">
        <v>46</v>
      </c>
      <c r="M11" s="6" t="s">
        <v>39</v>
      </c>
    </row>
    <row r="12" spans="1:13" x14ac:dyDescent="0.3">
      <c r="A12" s="9"/>
      <c r="B12" s="10"/>
      <c r="C12" s="11" t="s">
        <v>48</v>
      </c>
      <c r="D12" s="12" t="s">
        <v>49</v>
      </c>
      <c r="E12" s="13" t="s">
        <v>48</v>
      </c>
      <c r="F12" s="13" t="s">
        <v>49</v>
      </c>
      <c r="G12" s="12" t="s">
        <v>48</v>
      </c>
      <c r="H12" s="12" t="s">
        <v>49</v>
      </c>
      <c r="I12" s="14"/>
      <c r="J12" s="103"/>
      <c r="K12" s="12"/>
      <c r="L12" s="12"/>
      <c r="M12" s="15"/>
    </row>
    <row r="13" spans="1:13" x14ac:dyDescent="0.3">
      <c r="A13" s="105"/>
      <c r="B13" s="106" t="s">
        <v>238</v>
      </c>
      <c r="C13" s="70"/>
      <c r="D13" s="70"/>
      <c r="E13" s="16"/>
      <c r="F13" s="16">
        <v>2000</v>
      </c>
      <c r="G13" s="16"/>
      <c r="H13" s="16">
        <v>3000</v>
      </c>
      <c r="I13" s="16"/>
      <c r="J13" s="16">
        <v>2000</v>
      </c>
      <c r="K13" s="16"/>
      <c r="L13" s="16"/>
      <c r="M13" s="16"/>
    </row>
  </sheetData>
  <mergeCells count="5">
    <mergeCell ref="B3:B4"/>
    <mergeCell ref="A10:I10"/>
    <mergeCell ref="C11:D11"/>
    <mergeCell ref="E11:F11"/>
    <mergeCell ref="G11:H11"/>
  </mergeCells>
  <pageMargins left="0.25" right="0.2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41</vt:i4>
      </vt:variant>
      <vt:variant>
        <vt:lpstr>Imenovani obsegi</vt:lpstr>
      </vt:variant>
      <vt:variant>
        <vt:i4>3</vt:i4>
      </vt:variant>
    </vt:vector>
  </HeadingPairs>
  <TitlesOfParts>
    <vt:vector size="44" baseType="lpstr">
      <vt:lpstr>UPRAVA</vt:lpstr>
      <vt:lpstr>UPRAVA ZAKLONIŠČA</vt:lpstr>
      <vt:lpstr>UPRAVA AVTOBUSNE POSTAJE </vt:lpstr>
      <vt:lpstr>UPRAVA CIVILNA ZAŠČITA</vt:lpstr>
      <vt:lpstr>UPRAVA VOZILA</vt:lpstr>
      <vt:lpstr>KRAJEVNE SKUPNOSTI</vt:lpstr>
      <vt:lpstr>KNJIŽNICA</vt:lpstr>
      <vt:lpstr>KNJIŽNICA VOZILA</vt:lpstr>
      <vt:lpstr>GENG</vt:lpstr>
      <vt:lpstr>GENG VOZILA</vt:lpstr>
      <vt:lpstr>GENG PLOVILA</vt:lpstr>
      <vt:lpstr>GENG ALL RISK</vt:lpstr>
      <vt:lpstr>OŠ  BRANIK_2018</vt:lpstr>
      <vt:lpstr>OŠ FRANA ERJAVCA</vt:lpstr>
      <vt:lpstr>OŠ F. ERJAVCA VOZILA</vt:lpstr>
      <vt:lpstr>OŠ ČEPOVAN</vt:lpstr>
      <vt:lpstr>OŠ ČEPOVAN-VOZILA</vt:lpstr>
      <vt:lpstr>OŠ ŠEMPAS</vt:lpstr>
      <vt:lpstr>OŠ ŠEMPAS-VOZILA</vt:lpstr>
      <vt:lpstr>OŠ Kozara</vt:lpstr>
      <vt:lpstr>OŠ KOZARA VOZILA</vt:lpstr>
      <vt:lpstr>OŠ DORNBERK</vt:lpstr>
      <vt:lpstr>OŠ DORNBERK-VOZILA</vt:lpstr>
      <vt:lpstr>OŠ MILOJKE ŠTRUKELJ</vt:lpstr>
      <vt:lpstr>OŠ MILOJKE ŠTRUKELJ-VOZILA</vt:lpstr>
      <vt:lpstr>GLASBENA ŠOLA</vt:lpstr>
      <vt:lpstr>VRTEC</vt:lpstr>
      <vt:lpstr>VRTEC VOZILA</vt:lpstr>
      <vt:lpstr>LJUDSKA UNIVERZA NOVA GORICA</vt:lpstr>
      <vt:lpstr>MLADINSKI CENTER</vt:lpstr>
      <vt:lpstr>MLADIN. CENTER PRIREDITVE</vt:lpstr>
      <vt:lpstr>OŠ SOLKAN</vt:lpstr>
      <vt:lpstr>OŠ SOLKAN VOZILA</vt:lpstr>
      <vt:lpstr>ZD ZOBO NG</vt:lpstr>
      <vt:lpstr>ZD ZOBO VOZILA</vt:lpstr>
      <vt:lpstr>KULTURNI DOM</vt:lpstr>
      <vt:lpstr>GORIŠKI MUZEJ</vt:lpstr>
      <vt:lpstr>MUZEJ VOZILA</vt:lpstr>
      <vt:lpstr>SS MONG 2019</vt:lpstr>
      <vt:lpstr>LEKARNA</vt:lpstr>
      <vt:lpstr>LEKARNA VOZILA</vt:lpstr>
      <vt:lpstr>'SS MONG 2019'!Področje_tiskanja</vt:lpstr>
      <vt:lpstr>'SS MONG 2019'!Tiskanje_naslovov</vt:lpstr>
      <vt:lpstr>'SS MONG 2019'!Zbirka_podatkov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2018-10-26T07:37:44Z</cp:lastPrinted>
  <dcterms:created xsi:type="dcterms:W3CDTF">2017-08-29T14:29:42Z</dcterms:created>
  <dcterms:modified xsi:type="dcterms:W3CDTF">2019-04-16T14:27:24Z</dcterms:modified>
</cp:coreProperties>
</file>