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105" yWindow="-105" windowWidth="23250" windowHeight="12570"/>
  </bookViews>
  <sheets>
    <sheet name="GO+REKEPITULACIJA" sheetId="3" r:id="rId1"/>
    <sheet name="List1" sheetId="6" r:id="rId2"/>
    <sheet name="kolicine" sheetId="4" state="hidden" r:id="rId3"/>
    <sheet name="kanalizacija-kolicine" sheetId="5" state="hidden" r:id="rId4"/>
  </sheets>
  <externalReferences>
    <externalReference r:id="rId5"/>
    <externalReference r:id="rId6"/>
  </externalReferences>
  <definedNames>
    <definedName name="_xlnm.Print_Area" localSheetId="0">'GO+REKEPITULACIJA'!$A$1:$F$546</definedName>
  </definedNames>
  <calcPr calcId="125725"/>
</workbook>
</file>

<file path=xl/calcChain.xml><?xml version="1.0" encoding="utf-8"?>
<calcChain xmlns="http://schemas.openxmlformats.org/spreadsheetml/2006/main">
  <c r="F22" i="3"/>
  <c r="F21" l="1"/>
  <c r="F411" l="1"/>
  <c r="F99" l="1"/>
  <c r="F409" l="1"/>
  <c r="F528" l="1"/>
  <c r="F529"/>
  <c r="F530"/>
  <c r="F531"/>
  <c r="F532"/>
  <c r="F533"/>
  <c r="F534"/>
  <c r="F535"/>
  <c r="F543" l="1"/>
  <c r="F545" s="1"/>
  <c r="F48" s="1"/>
  <c r="F256"/>
  <c r="F258"/>
  <c r="F255"/>
  <c r="F254"/>
  <c r="F253"/>
  <c r="F252"/>
  <c r="F212"/>
  <c r="F213"/>
  <c r="F214"/>
  <c r="F210"/>
  <c r="F211"/>
  <c r="F133"/>
  <c r="F134"/>
  <c r="F180"/>
  <c r="F131"/>
  <c r="F132"/>
  <c r="F527"/>
  <c r="F478"/>
  <c r="F452"/>
  <c r="F441"/>
  <c r="F415"/>
  <c r="F371"/>
  <c r="F368"/>
  <c r="F369"/>
  <c r="F370"/>
  <c r="F338" l="1"/>
  <c r="F339"/>
  <c r="F341"/>
  <c r="F337"/>
  <c r="F312"/>
  <c r="F343" l="1"/>
  <c r="F277"/>
  <c r="F278"/>
  <c r="F279"/>
  <c r="F250"/>
  <c r="F395" l="1"/>
  <c r="F396"/>
  <c r="F397"/>
  <c r="F398"/>
  <c r="F352"/>
  <c r="F321"/>
  <c r="F320"/>
  <c r="F276" l="1"/>
  <c r="F273"/>
  <c r="F274"/>
  <c r="F275"/>
  <c r="F271"/>
  <c r="F272"/>
  <c r="F270"/>
  <c r="F268"/>
  <c r="F263"/>
  <c r="F264"/>
  <c r="F265"/>
  <c r="F266"/>
  <c r="F267"/>
  <c r="F269"/>
  <c r="F249"/>
  <c r="F260"/>
  <c r="F261"/>
  <c r="F262"/>
  <c r="F177" l="1"/>
  <c r="F178"/>
  <c r="F247" l="1"/>
  <c r="F248"/>
  <c r="F246"/>
  <c r="F215"/>
  <c r="F281" l="1"/>
  <c r="F202"/>
  <c r="F203"/>
  <c r="F204"/>
  <c r="F207"/>
  <c r="F205"/>
  <c r="F206"/>
  <c r="F209"/>
  <c r="F197"/>
  <c r="F156"/>
  <c r="F153"/>
  <c r="F155"/>
  <c r="F154"/>
  <c r="F159"/>
  <c r="F160"/>
  <c r="F127"/>
  <c r="F128"/>
  <c r="F129"/>
  <c r="F130"/>
  <c r="F109"/>
  <c r="F110"/>
  <c r="F111"/>
  <c r="F112"/>
  <c r="F113"/>
  <c r="F114"/>
  <c r="F115"/>
  <c r="F116"/>
  <c r="F117"/>
  <c r="F118"/>
  <c r="F119"/>
  <c r="F120"/>
  <c r="F121"/>
  <c r="F122"/>
  <c r="F123"/>
  <c r="F124"/>
  <c r="F125"/>
  <c r="F126"/>
  <c r="F107" l="1"/>
  <c r="F108"/>
  <c r="F105"/>
  <c r="F106"/>
  <c r="F102"/>
  <c r="F95"/>
  <c r="F100"/>
  <c r="F96"/>
  <c r="F90"/>
  <c r="F91"/>
  <c r="F88"/>
  <c r="F101"/>
  <c r="F89"/>
  <c r="F87"/>
  <c r="F75" l="1"/>
  <c r="F76"/>
  <c r="F80"/>
  <c r="F81"/>
  <c r="F82"/>
  <c r="F83"/>
  <c r="F84"/>
  <c r="F85"/>
  <c r="F86"/>
  <c r="F74" l="1"/>
  <c r="F392" l="1"/>
  <c r="F357"/>
  <c r="F356"/>
  <c r="F315"/>
  <c r="F316"/>
  <c r="F317"/>
  <c r="F318"/>
  <c r="F319"/>
  <c r="F322"/>
  <c r="F359" l="1"/>
  <c r="F191"/>
  <c r="F192"/>
  <c r="F193"/>
  <c r="F194"/>
  <c r="F198"/>
  <c r="F201"/>
  <c r="F152"/>
  <c r="F157"/>
  <c r="F158"/>
  <c r="F162"/>
  <c r="F163"/>
  <c r="F72"/>
  <c r="F73"/>
  <c r="F61"/>
  <c r="F525" l="1"/>
  <c r="F537" s="1"/>
  <c r="F200" l="1"/>
  <c r="F199"/>
  <c r="F47" l="1"/>
  <c r="F324" l="1"/>
  <c r="F325"/>
  <c r="F326"/>
  <c r="F181"/>
  <c r="F183"/>
  <c r="F184"/>
  <c r="F185"/>
  <c r="F186"/>
  <c r="F187"/>
  <c r="F188"/>
  <c r="F189"/>
  <c r="F190"/>
  <c r="F220"/>
  <c r="F221"/>
  <c r="F222"/>
  <c r="F223"/>
  <c r="F224"/>
  <c r="F225"/>
  <c r="F226"/>
  <c r="F227"/>
  <c r="F228"/>
  <c r="F229"/>
  <c r="F164"/>
  <c r="F231" l="1"/>
  <c r="F430" l="1"/>
  <c r="F394" l="1"/>
  <c r="F382"/>
  <c r="F385"/>
  <c r="F305" l="1"/>
  <c r="F306"/>
  <c r="F307"/>
  <c r="F308"/>
  <c r="F309"/>
  <c r="F310"/>
  <c r="F313"/>
  <c r="F314"/>
  <c r="F323"/>
  <c r="F35" l="1"/>
  <c r="F166" l="1"/>
  <c r="F136" l="1"/>
  <c r="F31" s="1"/>
  <c r="F63"/>
  <c r="F30" s="1"/>
  <c r="F517" l="1"/>
  <c r="F46" s="1"/>
  <c r="F381"/>
  <c r="F400" s="1"/>
  <c r="F45" s="1"/>
  <c r="F207" i="4"/>
  <c r="F206"/>
  <c r="F205"/>
  <c r="F204"/>
  <c r="F208" l="1"/>
  <c r="G41"/>
  <c r="I41" s="1"/>
  <c r="H41"/>
  <c r="F42"/>
  <c r="H42" s="1"/>
  <c r="L42"/>
  <c r="M42"/>
  <c r="I32"/>
  <c r="I35" s="1"/>
  <c r="G32"/>
  <c r="H32" s="1"/>
  <c r="H35" s="1"/>
  <c r="S21"/>
  <c r="S19"/>
  <c r="Q19"/>
  <c r="Q20"/>
  <c r="Q21"/>
  <c r="Q22"/>
  <c r="Q23"/>
  <c r="Q24"/>
  <c r="Q25"/>
  <c r="N20"/>
  <c r="N21"/>
  <c r="N22"/>
  <c r="N19"/>
  <c r="K19"/>
  <c r="P20"/>
  <c r="P19"/>
  <c r="M20"/>
  <c r="M19"/>
  <c r="M26" s="1"/>
  <c r="F8"/>
  <c r="R20"/>
  <c r="R19"/>
  <c r="I20"/>
  <c r="I19"/>
  <c r="L20"/>
  <c r="L19"/>
  <c r="N26" l="1"/>
  <c r="Q26"/>
  <c r="H11" i="5"/>
  <c r="H9"/>
  <c r="S27"/>
  <c r="V23"/>
  <c r="N23"/>
  <c r="L23"/>
  <c r="O23" s="1"/>
  <c r="B23"/>
  <c r="R23" s="1"/>
  <c r="V21"/>
  <c r="N21"/>
  <c r="L21"/>
  <c r="O21" s="1"/>
  <c r="B21"/>
  <c r="R21" s="1"/>
  <c r="V19"/>
  <c r="N19"/>
  <c r="L19"/>
  <c r="O19" s="1"/>
  <c r="B19"/>
  <c r="R19" s="1"/>
  <c r="V17"/>
  <c r="N17"/>
  <c r="L17"/>
  <c r="O17" s="1"/>
  <c r="B17"/>
  <c r="R17" s="1"/>
  <c r="N15"/>
  <c r="L15"/>
  <c r="O15" s="1"/>
  <c r="V15"/>
  <c r="B15"/>
  <c r="E15" s="1"/>
  <c r="N13"/>
  <c r="L13"/>
  <c r="O13" s="1"/>
  <c r="V13"/>
  <c r="B13"/>
  <c r="E13" s="1"/>
  <c r="N11"/>
  <c r="L11"/>
  <c r="O11" s="1"/>
  <c r="I27"/>
  <c r="V11"/>
  <c r="B11"/>
  <c r="V9"/>
  <c r="N9"/>
  <c r="L9"/>
  <c r="O9" s="1"/>
  <c r="B9"/>
  <c r="R9" s="1"/>
  <c r="F176" i="3"/>
  <c r="F182" s="1"/>
  <c r="F304"/>
  <c r="K98" i="4"/>
  <c r="K99"/>
  <c r="K100"/>
  <c r="K97"/>
  <c r="D243"/>
  <c r="F237"/>
  <c r="F236"/>
  <c r="F235"/>
  <c r="D230"/>
  <c r="D219"/>
  <c r="D209"/>
  <c r="J89"/>
  <c r="R21"/>
  <c r="R22"/>
  <c r="R23"/>
  <c r="R24"/>
  <c r="R25"/>
  <c r="F188"/>
  <c r="F187"/>
  <c r="F189"/>
  <c r="F170"/>
  <c r="D179"/>
  <c r="F169"/>
  <c r="F171"/>
  <c r="F152"/>
  <c r="F153"/>
  <c r="F151"/>
  <c r="F135"/>
  <c r="F136"/>
  <c r="E142"/>
  <c r="E141"/>
  <c r="F137"/>
  <c r="D129"/>
  <c r="F121"/>
  <c r="G121"/>
  <c r="H121"/>
  <c r="I121"/>
  <c r="D121"/>
  <c r="J98"/>
  <c r="J99"/>
  <c r="J97"/>
  <c r="I98"/>
  <c r="I99"/>
  <c r="I97"/>
  <c r="J100"/>
  <c r="K90"/>
  <c r="G90"/>
  <c r="K87"/>
  <c r="G89"/>
  <c r="G87"/>
  <c r="I87" s="1"/>
  <c r="I91" s="1"/>
  <c r="F89"/>
  <c r="F87"/>
  <c r="H87" s="1"/>
  <c r="J88"/>
  <c r="F80"/>
  <c r="F79"/>
  <c r="F77"/>
  <c r="F70"/>
  <c r="F68"/>
  <c r="F69"/>
  <c r="M41"/>
  <c r="P21"/>
  <c r="P22"/>
  <c r="P23"/>
  <c r="P24"/>
  <c r="P25"/>
  <c r="I52"/>
  <c r="I53"/>
  <c r="I54"/>
  <c r="I55"/>
  <c r="I56"/>
  <c r="I57"/>
  <c r="I58"/>
  <c r="I59"/>
  <c r="I51"/>
  <c r="H52"/>
  <c r="H53"/>
  <c r="H54"/>
  <c r="H55"/>
  <c r="H56"/>
  <c r="H57"/>
  <c r="H58"/>
  <c r="H59"/>
  <c r="H51"/>
  <c r="Y43"/>
  <c r="Y41"/>
  <c r="D61"/>
  <c r="J61" s="1"/>
  <c r="K45"/>
  <c r="P45"/>
  <c r="Q45"/>
  <c r="R45"/>
  <c r="L41"/>
  <c r="J45"/>
  <c r="V31"/>
  <c r="L21"/>
  <c r="L22"/>
  <c r="L23"/>
  <c r="L24"/>
  <c r="L25"/>
  <c r="J20"/>
  <c r="J21"/>
  <c r="J22"/>
  <c r="J23"/>
  <c r="J24"/>
  <c r="J25"/>
  <c r="J19"/>
  <c r="K21"/>
  <c r="K22"/>
  <c r="K23"/>
  <c r="K24"/>
  <c r="K25"/>
  <c r="D26"/>
  <c r="O19"/>
  <c r="H27" i="5" l="1"/>
  <c r="L26" i="4"/>
  <c r="D240"/>
  <c r="E17" i="5"/>
  <c r="G17" s="1"/>
  <c r="J17" s="1"/>
  <c r="W17" s="1"/>
  <c r="G83" i="4"/>
  <c r="K101"/>
  <c r="R26"/>
  <c r="K91"/>
  <c r="G135"/>
  <c r="H70"/>
  <c r="D199"/>
  <c r="J87"/>
  <c r="J91" s="1"/>
  <c r="P13" i="5"/>
  <c r="Q13" s="1"/>
  <c r="P15"/>
  <c r="Q15" s="1"/>
  <c r="P17"/>
  <c r="P19"/>
  <c r="P21"/>
  <c r="P23"/>
  <c r="G136" i="4"/>
  <c r="F33" i="3"/>
  <c r="F32"/>
  <c r="F42"/>
  <c r="F328"/>
  <c r="F41" s="1"/>
  <c r="F34"/>
  <c r="F43"/>
  <c r="P9" i="5"/>
  <c r="Q9" s="1"/>
  <c r="X9" s="1"/>
  <c r="E9"/>
  <c r="T9" s="1"/>
  <c r="P11"/>
  <c r="Q11" s="1"/>
  <c r="T13"/>
  <c r="G13"/>
  <c r="J13" s="1"/>
  <c r="V27"/>
  <c r="E11"/>
  <c r="R11"/>
  <c r="T15"/>
  <c r="G15"/>
  <c r="J15" s="1"/>
  <c r="X17"/>
  <c r="X19"/>
  <c r="X21"/>
  <c r="X23"/>
  <c r="R13"/>
  <c r="R15"/>
  <c r="E19"/>
  <c r="E21"/>
  <c r="E23"/>
  <c r="D160" i="4"/>
  <c r="H68"/>
  <c r="H69"/>
  <c r="F190"/>
  <c r="I90"/>
  <c r="F172"/>
  <c r="F181" s="1"/>
  <c r="D110"/>
  <c r="F110" s="1"/>
  <c r="I110" s="1"/>
  <c r="E121"/>
  <c r="H88"/>
  <c r="H91" s="1"/>
  <c r="E143"/>
  <c r="G68"/>
  <c r="G71" s="1"/>
  <c r="F81"/>
  <c r="D108" s="1"/>
  <c r="F108" s="1"/>
  <c r="I100"/>
  <c r="I101" s="1"/>
  <c r="S26"/>
  <c r="J63" s="1"/>
  <c r="J101"/>
  <c r="F154"/>
  <c r="F138"/>
  <c r="I61"/>
  <c r="M45"/>
  <c r="F91"/>
  <c r="D91"/>
  <c r="H61"/>
  <c r="D81"/>
  <c r="O23"/>
  <c r="J26"/>
  <c r="L45"/>
  <c r="O25"/>
  <c r="O21"/>
  <c r="P26"/>
  <c r="F13"/>
  <c r="K26"/>
  <c r="K28" s="1"/>
  <c r="O24"/>
  <c r="O22"/>
  <c r="O20"/>
  <c r="F36" i="3" l="1"/>
  <c r="F38" s="1"/>
  <c r="T17" i="5"/>
  <c r="F162" i="4"/>
  <c r="G110"/>
  <c r="X11" i="5"/>
  <c r="X13"/>
  <c r="R27"/>
  <c r="T23"/>
  <c r="G23"/>
  <c r="J23" s="1"/>
  <c r="W23" s="1"/>
  <c r="T19"/>
  <c r="G19"/>
  <c r="J19" s="1"/>
  <c r="W19" s="1"/>
  <c r="X15"/>
  <c r="T11"/>
  <c r="G11"/>
  <c r="J11" s="1"/>
  <c r="W11" s="1"/>
  <c r="G9"/>
  <c r="J9" s="1"/>
  <c r="Q27"/>
  <c r="T21"/>
  <c r="G21"/>
  <c r="J21" s="1"/>
  <c r="W21" s="1"/>
  <c r="W15"/>
  <c r="W13"/>
  <c r="H110" i="4"/>
  <c r="O26"/>
  <c r="D107" s="1"/>
  <c r="F145"/>
  <c r="D109"/>
  <c r="F109" s="1"/>
  <c r="H109" s="1"/>
  <c r="H108"/>
  <c r="G108"/>
  <c r="I108"/>
  <c r="I111" s="1"/>
  <c r="I45"/>
  <c r="X27" i="5" l="1"/>
  <c r="G109" i="4"/>
  <c r="D111"/>
  <c r="T27" i="5"/>
  <c r="F107" i="4"/>
  <c r="G107" s="1"/>
  <c r="W9" i="5"/>
  <c r="W27" s="1"/>
  <c r="J27"/>
  <c r="G111" i="4" l="1"/>
  <c r="H107"/>
  <c r="H111" s="1"/>
  <c r="F111"/>
  <c r="F367" i="3" l="1"/>
  <c r="F373" s="1"/>
  <c r="F44" s="1"/>
  <c r="F49" s="1"/>
  <c r="F51" l="1"/>
  <c r="F16" l="1"/>
  <c r="F18"/>
  <c r="F20" l="1"/>
  <c r="F24" s="1"/>
  <c r="F25" s="1"/>
</calcChain>
</file>

<file path=xl/sharedStrings.xml><?xml version="1.0" encoding="utf-8"?>
<sst xmlns="http://schemas.openxmlformats.org/spreadsheetml/2006/main" count="793" uniqueCount="464">
  <si>
    <t>REKAPITULACIJA</t>
  </si>
  <si>
    <t>ZIDARSKA DELA</t>
  </si>
  <si>
    <t>A.</t>
  </si>
  <si>
    <t>B.</t>
  </si>
  <si>
    <t>C.</t>
  </si>
  <si>
    <t>1.</t>
  </si>
  <si>
    <t>2.</t>
  </si>
  <si>
    <t>3.</t>
  </si>
  <si>
    <t>4.</t>
  </si>
  <si>
    <t>5.</t>
  </si>
  <si>
    <t>kos</t>
  </si>
  <si>
    <t>m1</t>
  </si>
  <si>
    <t>6.</t>
  </si>
  <si>
    <t>7.</t>
  </si>
  <si>
    <t>8.</t>
  </si>
  <si>
    <t>9.</t>
  </si>
  <si>
    <t>m2</t>
  </si>
  <si>
    <t>10.</t>
  </si>
  <si>
    <t xml:space="preserve">SKUPAJ </t>
  </si>
  <si>
    <t>D.</t>
  </si>
  <si>
    <t>E.</t>
  </si>
  <si>
    <t>F.</t>
  </si>
  <si>
    <t>m3</t>
  </si>
  <si>
    <t>SLIKOPLESKARSKA DELA</t>
  </si>
  <si>
    <t>SKUPAJ SLIKOPLESKARSKA DELA</t>
  </si>
  <si>
    <t>PK</t>
  </si>
  <si>
    <t>ur</t>
  </si>
  <si>
    <t>KV</t>
  </si>
  <si>
    <t>11.</t>
  </si>
  <si>
    <t>12.</t>
  </si>
  <si>
    <t>G.</t>
  </si>
  <si>
    <t>H.</t>
  </si>
  <si>
    <t>SKUPAJ Z DDV</t>
  </si>
  <si>
    <t>ZEMELJSKA DELA</t>
  </si>
  <si>
    <t>BETONSKA DELA</t>
  </si>
  <si>
    <t>SKUPAJ ZIDARSKA  DELA</t>
  </si>
  <si>
    <t>I.</t>
  </si>
  <si>
    <t>SKUPAJ ZEMELJSKA DELA</t>
  </si>
  <si>
    <t>SKUPAJ BETONSKA DELA</t>
  </si>
  <si>
    <t>FASADERSKA DELA</t>
  </si>
  <si>
    <t>SKUPAJ FASADERSKA DELA</t>
  </si>
  <si>
    <t>13.</t>
  </si>
  <si>
    <t>14.</t>
  </si>
  <si>
    <t>15.</t>
  </si>
  <si>
    <t>16.</t>
  </si>
  <si>
    <t>17.</t>
  </si>
  <si>
    <t>18.</t>
  </si>
  <si>
    <t>19.</t>
  </si>
  <si>
    <t>H</t>
  </si>
  <si>
    <t>20.</t>
  </si>
  <si>
    <t>široki izkop</t>
  </si>
  <si>
    <t>klet</t>
  </si>
  <si>
    <t>A</t>
  </si>
  <si>
    <t>SKUPAJ Š. IZK</t>
  </si>
  <si>
    <t>L</t>
  </si>
  <si>
    <t>TEMELJI OBJEKTA</t>
  </si>
  <si>
    <t>Ai</t>
  </si>
  <si>
    <t>Ab</t>
  </si>
  <si>
    <t>Az</t>
  </si>
  <si>
    <t>SK</t>
  </si>
  <si>
    <t>Vb</t>
  </si>
  <si>
    <t>V podl bet</t>
  </si>
  <si>
    <t>Opaž</t>
  </si>
  <si>
    <t>Vizk tem</t>
  </si>
  <si>
    <t>SK 3+4</t>
  </si>
  <si>
    <t>POVRŠINA MED TEMELJI</t>
  </si>
  <si>
    <t>A med temelji</t>
  </si>
  <si>
    <t>SKUP</t>
  </si>
  <si>
    <t>H nas</t>
  </si>
  <si>
    <t>V nasutja med temelji</t>
  </si>
  <si>
    <t>ZASIP ZA ZIDOVI KLETI</t>
  </si>
  <si>
    <t>zasip z izk mat</t>
  </si>
  <si>
    <t>drenaž</t>
  </si>
  <si>
    <t>BETON TP</t>
  </si>
  <si>
    <t>PODPORNI ZIDOVI</t>
  </si>
  <si>
    <t>kletni</t>
  </si>
  <si>
    <t>Presek zidu</t>
  </si>
  <si>
    <t>podporni spredaj</t>
  </si>
  <si>
    <t>podporni zadaj</t>
  </si>
  <si>
    <t>ELEMENT</t>
  </si>
  <si>
    <t>debelina</t>
  </si>
  <si>
    <t>Vol bet</t>
  </si>
  <si>
    <t>AB PLOŠČA</t>
  </si>
  <si>
    <t>Površina plošče</t>
  </si>
  <si>
    <t>nad kletjo</t>
  </si>
  <si>
    <t>nad pritličjem</t>
  </si>
  <si>
    <t>nad nadstropjem</t>
  </si>
  <si>
    <t>Vol bet plođče</t>
  </si>
  <si>
    <t>L hor</t>
  </si>
  <si>
    <t>L vert</t>
  </si>
  <si>
    <t>ostrešje-kapna</t>
  </si>
  <si>
    <t>PRESEK hor. Vez</t>
  </si>
  <si>
    <t>PRESEK vert. Vez</t>
  </si>
  <si>
    <t>V bet hor. Vez</t>
  </si>
  <si>
    <t>V bet vert.vez</t>
  </si>
  <si>
    <t>VEZI in stebri</t>
  </si>
  <si>
    <t>Stebri</t>
  </si>
  <si>
    <t>STOPNICE</t>
  </si>
  <si>
    <t>zun 1</t>
  </si>
  <si>
    <t>zun 2</t>
  </si>
  <si>
    <t>zun 3</t>
  </si>
  <si>
    <t>not kl+pr</t>
  </si>
  <si>
    <t>Š</t>
  </si>
  <si>
    <t>št nast pl</t>
  </si>
  <si>
    <t>nast plosk</t>
  </si>
  <si>
    <t>čelo</t>
  </si>
  <si>
    <t>BETON</t>
  </si>
  <si>
    <t>OPAŽ</t>
  </si>
  <si>
    <t>SKUPAJ</t>
  </si>
  <si>
    <t>ARMATURA</t>
  </si>
  <si>
    <t>BETON TEMELJEV</t>
  </si>
  <si>
    <t>PLOŠČE</t>
  </si>
  <si>
    <t>VEZI+STEBRI</t>
  </si>
  <si>
    <t>ZIDOVI</t>
  </si>
  <si>
    <t>kg/m3</t>
  </si>
  <si>
    <t>KG</t>
  </si>
  <si>
    <t>PALICE do fi 12</t>
  </si>
  <si>
    <t>PALICE do nad 12</t>
  </si>
  <si>
    <t>mreže</t>
  </si>
  <si>
    <t>PLATA</t>
  </si>
  <si>
    <t>HI</t>
  </si>
  <si>
    <t>horizont pritličje</t>
  </si>
  <si>
    <t>horizont nadstropje</t>
  </si>
  <si>
    <t>vert 1</t>
  </si>
  <si>
    <t>vert2</t>
  </si>
  <si>
    <t>A hor</t>
  </si>
  <si>
    <t>A vert</t>
  </si>
  <si>
    <t>XPS po TP</t>
  </si>
  <si>
    <t>XPS</t>
  </si>
  <si>
    <t>PREKLADE</t>
  </si>
  <si>
    <t>prit</t>
  </si>
  <si>
    <t>nad</t>
  </si>
  <si>
    <t>MODULARNI BLOK 29</t>
  </si>
  <si>
    <t>PRITLIČJE</t>
  </si>
  <si>
    <t>NADSTROPJE</t>
  </si>
  <si>
    <t>odbitek</t>
  </si>
  <si>
    <t>KOLENČNI ZIS</t>
  </si>
  <si>
    <t>V</t>
  </si>
  <si>
    <t>PRITL</t>
  </si>
  <si>
    <t>NADSTR</t>
  </si>
  <si>
    <t>ODBITKI POVRŠIN</t>
  </si>
  <si>
    <t>SKUPAJ MB 30</t>
  </si>
  <si>
    <t>NENOSILNI ZIDOVI</t>
  </si>
  <si>
    <t>KLET</t>
  </si>
  <si>
    <t>NOTRANJI OMET</t>
  </si>
  <si>
    <t>NOTRANJI OMET - ZIDOVI</t>
  </si>
  <si>
    <t>NOTRANJI OMET - PLOŠČE</t>
  </si>
  <si>
    <t xml:space="preserve">  - odb</t>
  </si>
  <si>
    <t>ETAŽA</t>
  </si>
  <si>
    <t>POLICE -IZRAVNAVA</t>
  </si>
  <si>
    <t>OPAŽ HORIZ</t>
  </si>
  <si>
    <t>OPAŽ VERT</t>
  </si>
  <si>
    <t>VZH</t>
  </si>
  <si>
    <t>ZAH</t>
  </si>
  <si>
    <t xml:space="preserve">SEV </t>
  </si>
  <si>
    <t>JUG</t>
  </si>
  <si>
    <t>ODBITEK</t>
  </si>
  <si>
    <t>FASADE-brez kamna</t>
  </si>
  <si>
    <t>FASADE- kamen</t>
  </si>
  <si>
    <t>ZID ZADAJ</t>
  </si>
  <si>
    <t>ZID SPREDAJ</t>
  </si>
  <si>
    <t>KAMNITI ZIDOVI</t>
  </si>
  <si>
    <t>KAMNITE OBLOGE ZIDOV</t>
  </si>
  <si>
    <t>GARAŽA</t>
  </si>
  <si>
    <t>KAMNITI SLOPI SEVER</t>
  </si>
  <si>
    <t>D</t>
  </si>
  <si>
    <t>KAMNITI ZID SPREDAJ -podaljšek</t>
  </si>
  <si>
    <t>stebri</t>
  </si>
  <si>
    <t>erte</t>
  </si>
  <si>
    <t>A oblog</t>
  </si>
  <si>
    <t>TLAKI</t>
  </si>
  <si>
    <t>OBMOČJE NADSTREŠKA</t>
  </si>
  <si>
    <t>IZKOP</t>
  </si>
  <si>
    <t>POSTELJICA</t>
  </si>
  <si>
    <t>NASIP</t>
  </si>
  <si>
    <t>PLANIRANJE 
VRHA</t>
  </si>
  <si>
    <t>PLANIRANJE DNA</t>
  </si>
  <si>
    <t>ZASIP Z IZKOPANIM</t>
  </si>
  <si>
    <t>ODVOZ VIŠKA MATERJALA</t>
  </si>
  <si>
    <t>POZ</t>
  </si>
  <si>
    <t>RAD</t>
  </si>
  <si>
    <t>NAKLON [STOPINJE]</t>
  </si>
  <si>
    <t>B[m]</t>
  </si>
  <si>
    <t>B1[m]</t>
  </si>
  <si>
    <r>
      <t xml:space="preserve">h FEK. Jar. </t>
    </r>
    <r>
      <rPr>
        <b/>
        <sz val="8"/>
        <rFont val="Arial CE"/>
      </rPr>
      <t>(srednja globina)</t>
    </r>
  </si>
  <si>
    <t>A[m2]</t>
  </si>
  <si>
    <t>L cevi</t>
  </si>
  <si>
    <t>lj[m]</t>
  </si>
  <si>
    <t>DN  [m]</t>
  </si>
  <si>
    <t>c1 [m]</t>
  </si>
  <si>
    <t>E [m]</t>
  </si>
  <si>
    <t>Acevi[m2]</t>
  </si>
  <si>
    <t>hp [m]</t>
  </si>
  <si>
    <t>Ap</t>
  </si>
  <si>
    <t>Vp 
[m3]</t>
  </si>
  <si>
    <t>V gram
[m3]</t>
  </si>
  <si>
    <t>Vn [m3]</t>
  </si>
  <si>
    <t>Aplan.v 
[m2]</t>
  </si>
  <si>
    <t>Aplan d 
[m2]</t>
  </si>
  <si>
    <t>Vz d [m3]</t>
  </si>
  <si>
    <t xml:space="preserve">V odvoza [m3]   </t>
  </si>
  <si>
    <t>VSOTE</t>
  </si>
  <si>
    <r>
      <rPr>
        <u/>
        <sz val="12"/>
        <rFont val="Arial"/>
        <family val="2"/>
      </rPr>
      <t>SKICA:</t>
    </r>
    <r>
      <rPr>
        <sz val="12"/>
        <rFont val="Arial"/>
        <family val="2"/>
      </rPr>
      <t xml:space="preserve"> KARAKTERISTIČNI PREREZ VODOVODNEGA PRIKLJUČKA ZA OBRAČUN</t>
    </r>
  </si>
  <si>
    <t>METEORNA</t>
  </si>
  <si>
    <t>FEKALNA</t>
  </si>
  <si>
    <t xml:space="preserve">Vi [m3]  </t>
  </si>
  <si>
    <t>čistilna</t>
  </si>
  <si>
    <t>Vodohran</t>
  </si>
  <si>
    <t>Planiranje dna izkopa pod temelji s točnostjo +- 3,00 cm ter utrjevanjem izkopanega dna do ustrezne zbitosti, po navodilu geomehanika.</t>
  </si>
  <si>
    <t>Ab betona</t>
  </si>
  <si>
    <t>š</t>
  </si>
  <si>
    <t>h</t>
  </si>
  <si>
    <t>d</t>
  </si>
  <si>
    <t>izkop do nasutja</t>
  </si>
  <si>
    <t>široko izkop</t>
  </si>
  <si>
    <t>Tampon pod temelji</t>
  </si>
  <si>
    <t>ZASIP MED TEMELJI</t>
  </si>
  <si>
    <t>Vb temelji</t>
  </si>
  <si>
    <t>TALNA PLOŠČA</t>
  </si>
  <si>
    <t>Aplan pod temelji</t>
  </si>
  <si>
    <t>Tamon med temelji d=30 cm</t>
  </si>
  <si>
    <t>VERT HI</t>
  </si>
  <si>
    <t>AB ZIDOVI OBJEKTA</t>
  </si>
  <si>
    <t>Apl</t>
  </si>
  <si>
    <t>Vbet</t>
  </si>
  <si>
    <t>OPAŽ PL</t>
  </si>
  <si>
    <t>ROB PL</t>
  </si>
  <si>
    <t>AB PLOŠČA + ATIKA</t>
  </si>
  <si>
    <t>PLOŠČA</t>
  </si>
  <si>
    <t>ATIKA</t>
  </si>
  <si>
    <t>Aopaža</t>
  </si>
  <si>
    <t>F1</t>
  </si>
  <si>
    <t>F2</t>
  </si>
  <si>
    <t>F3</t>
  </si>
  <si>
    <t>F4</t>
  </si>
  <si>
    <t>kpl</t>
  </si>
  <si>
    <t>PREDDELA</t>
  </si>
  <si>
    <t>RUŠITVENA DELA</t>
  </si>
  <si>
    <t>SKUPAJ RUŠITVENA DELA</t>
  </si>
  <si>
    <t>GRADBENA DELA</t>
  </si>
  <si>
    <t>ZADEVA: POPIS DEL IN PREDIZMERE ZA GRADBENOOBRTNIŠKA DELA</t>
  </si>
  <si>
    <t>OBRTNIŠKA DELA</t>
  </si>
  <si>
    <t>II.</t>
  </si>
  <si>
    <t>GRADBENOOBRTNIŠKA DELA SKUPAJ</t>
  </si>
  <si>
    <t>Splošna opomba</t>
  </si>
  <si>
    <t>Opomba:</t>
  </si>
  <si>
    <t>V ceno za enoto pri rušitvenih delih je upoštevati sledeče:</t>
  </si>
  <si>
    <t>Vsa zemeljska dela in transporti izkopanih materialov se obračunajo po prostornini zemljine v raščenem stanju. Vsi zasipi se obračunajo po prostornini zemljine v vgrajenem stanju. Morebitne začasne deponije zemeljskega materiala in potrebne transporte v zvezi s tem je potrebno upoštevati v enotnih cenah.</t>
  </si>
  <si>
    <t>Vsa dela se morajo izvajati v skladu z načrtom in tehničnim poročilom arhitekture in gradbenih konstrukcij ter standardi. Končno poročilo preiskav betona, ki ga izvede pooblaščena institucija, je vkalkulirano v ceni po enoti mere.</t>
  </si>
  <si>
    <t>Pri betoniranju tudi upoštevati: vsa pripravljalna in zaključna dela; vse vertikalne in horizontalne prenose, prevoze in transporte; vibriranje in negovanje betona; vgradnjo vseh sider in kovinskih nosilnih za ostala gradbena in obrtniška dela. Stene in zidovi morajo biti popolnoma ravni v horizontalni in vertikalni smeri.</t>
  </si>
  <si>
    <t>Vsa dela se morajo izvajati v skladu z načrtom in tehničnim poročilom arhitekture in gradbenih konstrukcij ter standardi.</t>
  </si>
  <si>
    <t>V ceni upoštevati tudi: vsa pripravljalna in zaključna dela; notranji in zunanji vertikalni ter horizontalni transport; stene in zidovi morajo biti popolnoma ravni v horizontalni in vertikalni smeri; upoštevati vse predpise in standarde za področje veznih sredstev in elementov.</t>
  </si>
  <si>
    <t>Zaključno čiščenje objekta po končanihh delih vključno z vrati, zasteklenimi okni, stensko keramiko. Obračuna se 1x tlorisna površina notranjih prostorov.</t>
  </si>
  <si>
    <t>Montaža in demontaža premičnih odrov v prostorih višine do 6,5m. Obračuna se 1x tlorisno površino.</t>
  </si>
  <si>
    <t>ZUNANJA UREDITEV</t>
  </si>
  <si>
    <t>SKUPAJ ZUNANJA UREDITEV</t>
  </si>
  <si>
    <t>Pri izvedbi predmetnih del je striktno upoštevati vse zahteve v vezi varstva pri delu tako zaposlenih kot mimoidočih.</t>
  </si>
  <si>
    <t>SKUPAJ KROVSKOKLEPARSKA DELA</t>
  </si>
  <si>
    <t>MAVČNOKARTONSKA DELA</t>
  </si>
  <si>
    <t>SKUPAJ MAVČNOKARTONSKA DELA</t>
  </si>
  <si>
    <t>TLAKARSKA DELA</t>
  </si>
  <si>
    <t>SKUPAJ TLAKARSKA</t>
  </si>
  <si>
    <t>STAVBNO POHIŠTVO</t>
  </si>
  <si>
    <t>KROVSKO-KLEPARSKA DELA</t>
  </si>
  <si>
    <t>Doplačilo za izdelavo zaokrožene mulde za žloto v naklonu proti odtokom.</t>
  </si>
  <si>
    <t>Dobava in naprava tipskega izliva žlote na ravni strehi z napravo priključka s cevjo fi 10cm na odtočnoo strešno cev iz jeklene pocinkane barvane pločevine vključno s protilistnim košem.</t>
  </si>
  <si>
    <t>Dobava in pokritje vrha ab atike z jekleno pocinkano barvano pločevino r.š. 40-50cm, debeline 0,6mm vključno z nosilno pločevino.</t>
  </si>
  <si>
    <t>Dobava in vgradnja odtočnih strešnih cevi fi 10cm iz jeklene pocinkane barvane pločevine deb.0.6mm, vljučno z objemkami</t>
  </si>
  <si>
    <t>Vse montažne izdelke (stene in strope) je potrebno izdelati po detajlih, navodilih in specifikaciji projektanta in proizvajalca.</t>
  </si>
  <si>
    <t>Barve po izboru projektanta.</t>
  </si>
  <si>
    <t>Vse talne obloge po izboru projektanta.</t>
  </si>
  <si>
    <t>Dobava in pritrditev talnnih lam/pripir iz inox na mestih kjer se manjajo vrste talnih oblog in nivoji.</t>
  </si>
  <si>
    <t>Barva: RAL</t>
  </si>
  <si>
    <t>Opomba: mere izdelka so podane orientacijsko, zato je vse mere potrebno vzeti na licu mesta.</t>
  </si>
  <si>
    <t>Požarna odpornost:</t>
  </si>
  <si>
    <t xml:space="preserve">Toplotna prevodnost: </t>
  </si>
  <si>
    <t xml:space="preserve">Požarna odpornost: </t>
  </si>
  <si>
    <t>SKUPAJ STAVBNO POHIŠTVO</t>
  </si>
  <si>
    <t>KROVKO-KLEPARSKA DELA</t>
  </si>
  <si>
    <t>Demontaža kleparskih izdelkov (obrobe, žlebovi, cevi) vključno z nakladanjem na transportno sredstvo in odvozom na deponijo ter plačilom komunalnih taks</t>
  </si>
  <si>
    <t>Izvajalec  si mora pred izdelavo ponudbe ogledati lokacijo in obstoječe stanje objekta.</t>
  </si>
  <si>
    <t>Pred izdelavo ponudbe je obvezen predhodni ogled obstoječih objektov in okolice.</t>
  </si>
  <si>
    <t>Vsa rušitvena in ostala dela se lahko pričnejo šele po odklopu vseh inštalacijskih priključkov. Pri vseh pozicijah je upoštevati vse prenose.</t>
  </si>
  <si>
    <t xml:space="preserve"> - V postavkah je potrebno upoštevati vsa spremna in potrebna dela za pričetek in dokončanje del v celoti.</t>
  </si>
  <si>
    <t xml:space="preserve"> - Pred pričetkom del - izkopov mora biti parcela očiščena in odstranjene vse morebitne ovire.</t>
  </si>
  <si>
    <t xml:space="preserve"> - Morebitno pranje vozil in čiščenje cestišča upoštevati v cenah na enoto.</t>
  </si>
  <si>
    <t xml:space="preserve"> - Pri izvajanju zemeljskih del je predvideti sodelovanje z eventuelnim izvajalcem stabilizacije temeljnih tal.</t>
  </si>
  <si>
    <t xml:space="preserve"> - Pri izvajanju zemeljskih del je predvideti sodelovanje z geomehanikom in statikom, ter za eventuelna spremenjena dela pridobiti pisno soglasje odgovornega projektanta.</t>
  </si>
  <si>
    <t xml:space="preserve"> - Pred izdelavo ponudbe je obvezen predhodni ogled obstoječega objekta in okolice.</t>
  </si>
  <si>
    <t xml:space="preserve"> - V ceni na enoto izkopanih materialov upoštevati morebitno zaščito brežin s PVC folijo</t>
  </si>
  <si>
    <t xml:space="preserve">Pri izvedbi temeljenja objekta je potrebno upoštevati navodila geomehanika. V ceni na enoto armature je potrebno upoštevati vso potrebno statično (distančno) armaturo, PVC distančnike, ... </t>
  </si>
  <si>
    <t>Ponudnik ali izvajalec je dolžan pred pričetkom del opozoriti na morebitno tehnično pomankljivost izvedenih detajlov, risb, opisov ali popisov del. Predloge potrdita projektant arhitekture in investitor.</t>
  </si>
  <si>
    <t>V sklop izvajalčeve ponudbe sodijo vsi delavniški načrti, ki jih pred izvedbo glede tehnične pravilnosti, zahtevane kakovosti in izgleda potrdi odgovorni projektant arhitekture.</t>
  </si>
  <si>
    <t>V primerih, kjer ni opredeljenega izvedbenega industrijskega detajla ali izdelka in za vse izrisane detajle, mora izvajalec pred pričetkom izvedbe predlog predstaviti, izbor potrdita odgovorni projektant arhitekture in investitor.</t>
  </si>
  <si>
    <t xml:space="preserve">Vzorce vseh finalnih materialov, skladno s predloženimi projekti in opisi v popisu del, je ponudnik dolžan predložiti projektantu v potrditev, kjer so možne alternativne rešitve v izbiri materiala (finalne obloge površin, njegove obdelave, vidni in nevidni pritrdilni materiali, pod konstrukcije, vzorci potiskov, okovje, obdelave stavbnega pohištva in vsi ostali detajli), je pred izvedbo obvezno potrebno predložiti vzorce, ki jih potrdita odgovorni projektant arhitekture in investitor. Vsi vgrajeni materiali morajo imeti ustrezne certifikate kakovosti ISO po veljavnih zahtevah zakona RS in EU in usklajene z CE znakom evropske skladnosti. Vsi materiali morajo biti skladni z določili dajanja gradbenih proizvodov v promet po zakonodaji o gradbenih proizvodih, z zagotovljenim pogojem STS. </t>
  </si>
  <si>
    <t xml:space="preserve">Način pritrjevanja je dimenzionirati na III. Vetrovno cono (burja do 230km/h). </t>
  </si>
  <si>
    <t>Dobava in montaža pvc kanalizacijskih cevi vključno s spojnimi elementi, koleni in odcepi:</t>
  </si>
  <si>
    <t>pvc cevi fi 70</t>
  </si>
  <si>
    <t>pvc cevi fi 110</t>
  </si>
  <si>
    <t>pvc cevi fi 160</t>
  </si>
  <si>
    <t>Izdelava geodetskega posnetka</t>
  </si>
  <si>
    <t xml:space="preserve">PREDDELA IN ZAKLJUČNA DELA </t>
  </si>
  <si>
    <t>SKUPAJ PREDDELA IN ZAKLJUČNA DELA SKUPAJ</t>
  </si>
  <si>
    <t>gradbeni material-ocena</t>
  </si>
  <si>
    <t xml:space="preserve">Zvočna zaščita: </t>
  </si>
  <si>
    <t>Odpiranje: krilno in ventus</t>
  </si>
  <si>
    <t>Zvočna zaščita:</t>
  </si>
  <si>
    <t>Material: Barvan aluminij</t>
  </si>
  <si>
    <t xml:space="preserve">Oprema: enokrilna vrata </t>
  </si>
  <si>
    <t>Material: Fe barvan podboj, krilo ultrapas</t>
  </si>
  <si>
    <r>
      <t>OPOMBA:</t>
    </r>
    <r>
      <rPr>
        <sz val="10"/>
        <rFont val="Arial Narrow"/>
        <family val="2"/>
      </rPr>
      <t xml:space="preserve"> V popisih in projektni dokumentaciji navedene blagovne znamke so kot okvirni kakovostni razred. Možno je uporabiti tudi druge materiale in opremo, ki ustreza navedenim in to izkazuje z ustrezno dokumentacijo. Za vse vgrajene materiale pred vgradnjo dostaviti STS ozirom pridobiti izjavo o lastnosti. Zamenjave dobaviteljev in blagovnih znamk ter primernost kvalitete potrdi poleg investitorja tudi projektant posamezne zvrsti in odgovorni vodja projekta.
</t>
    </r>
  </si>
  <si>
    <t>Razna manjša gradbena dela na primer, pomoč obrtnikom, vzidava manjših predmetov. Obračun se bo vršil na podlagi dejansko porabljenega časa in materiala, evidentiran v gradbenem dnevniku in potrjen od nadzornega organa naročnika.</t>
  </si>
  <si>
    <t xml:space="preserve">Dobava in nanos lepila, polaganje mrežice in prednamaz s prajmerjem na mavčnokartonske stene pred polaganjem stenske keramike. </t>
  </si>
  <si>
    <t>Toplotna prevodnost: 1,3W/m2K</t>
  </si>
  <si>
    <t xml:space="preserve"> </t>
  </si>
  <si>
    <t>Osnovni premaz in 2x slikanje že izravnanih notranjih sten  z belo disperzijsko barvo.</t>
  </si>
  <si>
    <t>OBJEKT: MUZEJ SABOTIN</t>
  </si>
  <si>
    <t xml:space="preserve">INVESTITOR: </t>
  </si>
  <si>
    <t>Pri izvedbi predmetnih del je striktno upoštevati vse zahteve v vezi varstva pri delu tako zaposlenih kot mimoidočih. Vsi dostopi morajo biti ustrezno zavarovani in označeni ter nemoteči za uporabnike sosednjih objektov. Izvajalec del si mora delovišče ogledati na licu mesta. V ceni je zajeti vse morebitne stroške ureditve gradbišča (pisarniški kontejner, barake, wc, gradbiščna deponija, zaščitna ograja, gradbiščna tabla,....)</t>
  </si>
  <si>
    <t>Ves uporaben material pridobljen pri rušenju mora izvajalec del deponirati na deponiji naročnika, neuporabnega pa odvoziti v krajevno deponijo na razdalji do 20km vključno s plačilom vseh komunalnih pristojbin in taks.</t>
  </si>
  <si>
    <t>Odstranitev dotrajane bitumenske kritine z nakladanjem na transportno sredstvo in odvozom na deponijo ter plačilom komunalnih taks</t>
  </si>
  <si>
    <t>Iznos obstoječe opreme (omare, pulti, police, kuhinja ipd) iz objekta na lokacijo, ki jo določi naročnik.</t>
  </si>
  <si>
    <t>Demontaža lesene stene s steklenimi polnili dim do 2x3,3m vključno z nakladanjem na transportno sredstvo in odvozom na deponijo ter plačilom komunalnih taks</t>
  </si>
  <si>
    <t>Demontaža obstoječih notranjih lesenih vrat velikosti do 2,5m2, vključno s podboji ter z nakladanjem na transportno sredstvo in odvozom na deponijo ter plačilom komunalnih taks</t>
  </si>
  <si>
    <t>Demontaža obstoječih lesenih vhodnih vrat velokosti do 3m2, vključno s podboji ter z nakladanjem na transportno sredstvo in odvozom na deponijo ter plačilom komunalnih taks</t>
  </si>
  <si>
    <t>Demontaža obstoječih zunanjih jeklenih vhodnih vrat velokosti do 3m2, vključno s podboji ter z nakladanjem na transportno sredstvo in odvozom na deponijo ter plačilom komunalnih taks</t>
  </si>
  <si>
    <t>Demontaža obstoječe stenske keramike vključno z zaključnimi vogalniki, letvicami in vsemi pomožnimi deli ter nakladanjem na transportno sredstvo in odvozom na deponijo ter plačilom komunalnih taks</t>
  </si>
  <si>
    <t>Demontaža obstoječe lesene stenske  obloge vključno z zaključnimi vogalniki, letvicami in vsemi pomožnimi deli ter nakladanjem na transportno sredstvo in odvozom na deponijo ter plačilom komunalnih taks</t>
  </si>
  <si>
    <t>Demontaža obstoječe lesene stropne  obloge vključno z zaključnimi vogalniki, letvicami in vsemi pomožnimi deli ter nakladanjem na transportno sredstvo in odvozom na deponijo ter plačilom komunalnih taks</t>
  </si>
  <si>
    <t>Demontaža obstoječe sanitarne keramike (školjka vključno s kotličkom, umivalnik, pisoar) vključno z vsemi pomožnimi deli ter nakladanjem na transportno sredstvo in odvozom na deponijo ter plačilom komunalnih taks</t>
  </si>
  <si>
    <t>Izdelava preboja za prehod v obstoječi kamniti steni vključno z izdelavo ležišča za preklado, ter izdelavo preklade ter vertikalnih vezi vse vključno z dobavo in vgradnjo betona, armature, najem in izdelava ter demontaža opaža. (poraba: rušenje kamnite stene 1,5m3, beton 0,84m3, armatura 55kg, opaž 5,5m2)</t>
  </si>
  <si>
    <t>Demontaža nadstreška za objektom iz jeklene konstrukcije in polikarbonata vključno z nakladanjem na transportno sredstvo in odvozom na deponijo ter plačilom komunalnih taks</t>
  </si>
  <si>
    <t>Demontaža valovite strešne kritine nadstreškov vključno z letvami, vse do nosilne jeklene konstrukcije vključno z nakladanjem na transportno sredstvo in odvozom na deponijo ter plačilom komunalnih taks</t>
  </si>
  <si>
    <t>Demontaža strelovoda</t>
  </si>
  <si>
    <t>Demontaža kabelske police</t>
  </si>
  <si>
    <t>Demontaža jeklenih cevi (nosilci za anteno, ipd)</t>
  </si>
  <si>
    <t>Demontaža oziroma prestavitev elektro dovoda za objekt.</t>
  </si>
  <si>
    <t>Demontaža raznih škatel s fasade</t>
  </si>
  <si>
    <t>Demontaža pocinkanega prezračevalnega kanala</t>
  </si>
  <si>
    <t>Čiščenje terena za objektom</t>
  </si>
  <si>
    <t>Zasip s prodcem ter utrjevanje v plasteh do 20 cm.</t>
  </si>
  <si>
    <t>Dobava in vgradnja filca pod prodec</t>
  </si>
  <si>
    <t>Strojni  izkop za objektom globine 0.0-0,25 m, v zemljini IV. kat. z nakladanjem na kamion in odvozom v krajevno  deponijo, vključno z vsemi stroški deponiranja in plačilom taks.</t>
  </si>
  <si>
    <t>Ročni  izkop v objektu globine 0.0-0,30 m, v zemljini III. kat. S prenosom in z nakladanjem na kamion in odvozom v krajevno  deponijo, vključno z vsemi stroški deponiranja in plačilom taks.</t>
  </si>
  <si>
    <t>Planiranje dna izkopa v objektu s točnostjo +- 3,00 cm ter utrjevanjem izkopanega dna do ustrezne zbitosti, po navodilu geomehanika.</t>
  </si>
  <si>
    <t>Dobava in vgrajevanje tamponskega materiala granulacije 0/32mm v sloju deb. do 25cm pod tlakom v objetu   z izravnavo in utrjevanjem na predpisano zbitost.</t>
  </si>
  <si>
    <t>Dobava in betoniranje podložnega betona med temelji objekta debeline do 10 cm z betonom C 16/20 vključno z zgladitvijo površine za horizontalno hidroizloacijo.</t>
  </si>
  <si>
    <t>Dobava in naprava horizontalne hidroizolacije tlaka z enim slojem plastomer-bit.trakovi npr. izotekta T4 s polnim varjenjem s predhodnim hladnim bitumenskim  premazom npr. ibitolom vključno z vertikalnimi zaključki na stene (obračuna se tlorisna površina hidroizolacije)</t>
  </si>
  <si>
    <t>Dobava in naprava plavajočega mikroarmiranega cementnega estriha deb.8cm, ločilna Pe folija deb.0,2mm, toplotna izolacija XPS deb. 8cm vključno z obzidno dilatacijo deb. 0,5cm in potrebnimi talnimi dilatacijami.</t>
  </si>
  <si>
    <t>Dobava in naprava plavajočega mikroarmiranega cementnega estriha deb.6cm, ločilna Pe folija deb.0,2mm, toplotna izolacija XPS deb. 8cm vključno z obzidno dilatacijo deb. 0,5cm in potrebnimi talnimi dilatacijami.</t>
  </si>
  <si>
    <t>Montaža in demontaža cevnega fasadnega odra višine do 5m vključno z najemnino</t>
  </si>
  <si>
    <t>Izdelava šlicev v kamnitih stenah za instalacije dim. Do 10x10cm</t>
  </si>
  <si>
    <t>Krpanje šlicev v kamnitih stenah za instalacije dim. Do 10x10cm</t>
  </si>
  <si>
    <t>Izdelava priključka kanalizacije na obstoječi jašek</t>
  </si>
  <si>
    <t>Pred vgradnjo vseh materialov je potrebno vskladiti tehnične lastnosti materiala.</t>
  </si>
  <si>
    <t>Dobava in montaža panelne ograje višine 1,5m vključno s stebriči montirani v ab strešno ploščo, vse komplet z lepljenjem vijakov z dvokomponentnim lepilom.</t>
  </si>
  <si>
    <t>Grobi in fini omet zidov z apneno-cementno malto na opečni zid. Na spoju različnih materialov je potrebno uporabiti armirno mrežico (omet sanitarije in kjer je odstranjena stenska keramika)</t>
  </si>
  <si>
    <t>Struganje obstoječega dotrajanega opleska stropa in sten</t>
  </si>
  <si>
    <t>Obnova konstrukcije nadstreška. Čiščenje jeklene konstrukcije nadstreška vključno s stebri, sanacija morebitnih korozij, ter dobava in barvanje z dvokomponentno barvo po izboru projektanta. Obračuna se 1xtlorisna kvadratura nadstreška</t>
  </si>
  <si>
    <t>Dobava in betoniranje betona stopnišča (stopnišče na terenu-vhod)  z betonom C 25/30 vključno z opažem čel, sidranjem, armaturo in  z zgladitvijo površine za montažo kamna. (poraba: beton 0,6m3/m1, armatura 36kg/m1, opaž 0,8m2/m1)</t>
  </si>
  <si>
    <t>Rezanje asfalta deb. Do 10cm</t>
  </si>
  <si>
    <t>Rušenje asfalta debeline doo 10cm, vključno z odvozom na trajno deponijo in plačilom komunalnih taks</t>
  </si>
  <si>
    <t>Strojni  izkop za temelj gabionov, v zemljini IV. kat. z nakladanjem na kamion in odvozom v krajevno  deponijo, vključno z vsemi stroški deponiranja in plačilom taks.</t>
  </si>
  <si>
    <t>Planiranje dna temelja</t>
  </si>
  <si>
    <t>Dobava in vgrajevanje tamponskega materiala granulacije 0/32mm v sloju deb. do 15cm pod temeljem in obsipp temelja z izravnavo in utrjevanjem na predpisano zbitost.</t>
  </si>
  <si>
    <t>Planiranje in utrjevanje pred izdelavo asfalta</t>
  </si>
  <si>
    <t>Premaz stikov z dilaplastom
OPOMBA: delovni stik star in nov asfalt</t>
  </si>
  <si>
    <t xml:space="preserve">Izdelava obrabne in zaporne plasti bituminizirane zmesi AC 11 surf B 70/100 A4 v debelini 6,0 cm
</t>
  </si>
  <si>
    <t>Dobava in betoniranje betona temelja  z betonom C 25/30 vključno z opažem, armaturo in  z zgladitvijo površine za montažo gabiona. (poraba: beton 0,3m3/m1, armatura 20kg/m1, opaž 1,1m2/m1)</t>
  </si>
  <si>
    <t>Dobava in montaža gabionske stene za 3.vetrovno cono vključno s sidranjem v temelj. Stena je debeline 20cm in višine 176cm in vključuje stebre, sidrne vijake, mreže, mrežne distančnike, pritrdilne plošče ter avtohton kamen frakcije od 70 do 150mm</t>
  </si>
  <si>
    <t>Dobava in naprava sekundarne obloge stropa nad delom pritličja  zaradi zagotovitve razvodov in instalacij v stropu. Gips poln strop z gips ploščo d=1,25cm, komplet z ustrezno tipsko FeZn podkonstrukcijo debeline cca 35-80mm, pritrjena v obstoječo AB ploščo. Komplet z bandažiranjem in kitanjem spojev. Naleg na stene - mehki stik.</t>
  </si>
  <si>
    <t>Izravnava notranjih sten in stropov z 2x kitanjem in brušenjem, pripravljeno za slikanje</t>
  </si>
  <si>
    <t>opcija</t>
  </si>
  <si>
    <t>KAMNOSEŠKA DELA</t>
  </si>
  <si>
    <t>SKUPAJ KANOSEŠKA DELA</t>
  </si>
  <si>
    <t>Krpanje notranjega ometa muzej (ocena )</t>
  </si>
  <si>
    <t>Zagotoviti je potrebno tesnost kompletne strehein izdelati preizkus vodotesnosti.</t>
  </si>
  <si>
    <t>Dobava in pokrivanje ravne AB strehe (strešni naklon 2%) v sledeči sestavi: pvc hidroizolacijska UV odporna membrana kot npr Sika plan 15g tesnilna folija ali enakovredno, ločilni sloj poliesterski folija, toplotna izolacija ekstrudiran polistiren XPS deb. 18cm in parna zapora. Folija je preklopno varjena z vročim zrakom in mehansko pritrjena na podlago.</t>
  </si>
  <si>
    <t>Dobava in naprava obstenskega vertikalnega zaključka r.š. Do 40cm v sledeči sestavi: pvc hidroizolacijska membrana kot npr Sika plan 15g tesnilna folija ali enakovredno, ločilni sloj poliesterska folija, toplotna izolacija ekstrudiran polistiren XPS deb. 5cm. Folija je preklopno varjena z vročim zrakom in mehansko pritrjena na podlago.</t>
  </si>
  <si>
    <t>Dobava in montaža tipskih prelivov fi 10cm dolžine 50cm iz jeklene pocinkane barvane pločevine (preliv skozi atiko).</t>
  </si>
  <si>
    <t>Dobava in izdelava atike iz osb plošč debeline min.22mm vključno s pritrjevanjem na ab konstrukcijo, zavetrovanjem ter vso potrebno jekleno podkonstrukcijo. Deske so impregnirane, privijačene na armoran beton, višina plošč do 50cm</t>
  </si>
  <si>
    <t>Dobava in montaža osb obloge na zgornji površini atike, za zaključne pokrovne obrobe. Deske so impregnirane, privijačene na osb atiko vključno z zavetrovanjem, širine do 20 cm.</t>
  </si>
  <si>
    <t>Tesnenje vseh instalacijskih in konstrukcijskih prebojev na strehi vključno s sistemskimi objemkami in varjenjem membrane.</t>
  </si>
  <si>
    <t xml:space="preserve">Dobava izdelava in montaža zidne obrobe z jekleno pocinkano barvano pločevino r.š. 30-40cm, debeline 0,6mm </t>
  </si>
  <si>
    <t>Čiščenje obstoječe fasade (izpihovanje ali sesanje prašnih delcev)</t>
  </si>
  <si>
    <t>Morebitna sanacija poškodb na obstoječih stenah</t>
  </si>
  <si>
    <t>OPCIJA SANITARIJE</t>
  </si>
  <si>
    <t>Dobava in montaža vodoodpornih sten z dvojno kovinsko konstrukcijo (CW 75mm) in obojestransko dvojno oblogo iz mavčno kartonskih plošč 12,5mm, izolacijski sloj iz mineralne volne in parno zaporo. Stik med ploščami so tesnjeni in bandažirani. Na stikih s steno, stropom in tlemi je potrebno uporabiti tesnilni trak. Vključno z ojačitvenimi profili pri vratih. Kvaliteta kitanja spojev Q4.</t>
  </si>
  <si>
    <t>Lokalna izravnava notranjih špalet pri demontaži obstoječih vrat z 2x kitanjem in brušenjem, pripravljeno za slikanje</t>
  </si>
  <si>
    <t>Rušenje tlaka iz keramičnih ploščic vključno z rušenjem betonske podlage (predvidena skupna debelina do 20cm) in obzidne stenice (batiškope) vključno z vsemi pomožnimi deli ter nakladanjem na transportno sredstvo in odvozom na deponijo ter plačilom komunalnih taks</t>
  </si>
  <si>
    <t>Rušenje stopnice na vhodu iz keramičnih ploščic vključno z rušenjem betonske podlage (predvidena skupna debelina do 20cm) vključno z vsemi pomožnimi deli ter nakladanjem na transportno sredstvo in odvozom na deponijo ter plačilom komunalnih taks</t>
  </si>
  <si>
    <r>
      <t xml:space="preserve">Dobava in polaganje tlaka iz umetne gume z minimalnim dodatkom plastifikatorjev v ploščah večjega formata ali roli, primeren za bivalne prostore in zdravstvene ustanove . Požarni razred B ali Cfl-s1 / udoben za hojo / srednja do visoka odpornost proti obrabi ali abraziji / protizdrsen R9-R10 / antibakteriajski /antističen/ samo čiščenje in ne mazanje / možnost enostavne obnove, cenovni razred kot. npr. Nora- Norament, Noraplan . . Vzorce je pred dobavo dostaviti v izbor in potrditev arhitektu. Vse komplet s tipskim cokljem iz umetne gume -komplet z ustrezno podlogo. Komplet z mikroizravnavo, po potrebi zaporo estriha in prvim premazom s strani polagalca. Vzorec uskladiti po dogovoru in po izboru arhitekta in predstavnikov naročnika. Potrditev izbora na večjem uzorcu. Talna obloga se polaga v treh različnih barvah </t>
    </r>
    <r>
      <rPr>
        <b/>
        <sz val="11"/>
        <color theme="1"/>
        <rFont val="Calibri"/>
        <family val="2"/>
        <scheme val="minor"/>
      </rPr>
      <t>(imitacija lesa ter potka v rdeči in modri barvi-vskladiti s projektantom!)</t>
    </r>
  </si>
  <si>
    <t>Doplačilo za šivanje podlage na mestih dilatacij</t>
  </si>
  <si>
    <t>Vsi  izdelki so finalizirani, se dobavijo na objekt in so montirani. Izdelajo se po shemi oken , sten in vrat in po detajlu proizvajalca. V ceni je zajeti vse zaključke izdelka do gradbene konstrukcije in tesnenje. Pri oblikovanju cen za vse izdelke je potrebno upoštevati sheme vrat, oken in sten z opisi ter zidarsko pomočjo za vgrajevanje.</t>
  </si>
  <si>
    <t>Material: Macesen</t>
  </si>
  <si>
    <t xml:space="preserve">Barva: </t>
  </si>
  <si>
    <t>Oprema: Enokrilno okno, zastekljeno s termopan steklom.</t>
  </si>
  <si>
    <t>OKNA- LES</t>
  </si>
  <si>
    <t>OKNA- BARVAN ALUMINIJ</t>
  </si>
  <si>
    <t>Oznaka Izdelka: O3</t>
  </si>
  <si>
    <t>Zidarska odprtina: 1,0x0,6m</t>
  </si>
  <si>
    <t>Dodatki: Okno je opremljeno s polkni iz macesna ter z  notranjo leseno okensko polico širine do 35 cm</t>
  </si>
  <si>
    <t>VRATA- LES</t>
  </si>
  <si>
    <t>Oznaka Izdelka: V1</t>
  </si>
  <si>
    <t>Zidarska odprtina: 1,0X2,4m</t>
  </si>
  <si>
    <t>Material: Barvan alumunij</t>
  </si>
  <si>
    <t>Oznaka Izdelka: V2</t>
  </si>
  <si>
    <t>Oprema: Enokrilna vrata z delno zasteklitvijo-servisni vhod</t>
  </si>
  <si>
    <t>Oprema: Enokrilna vrata z delno zasteklitvijo - glavni vhod</t>
  </si>
  <si>
    <t>Oznaka Izdelka: V3</t>
  </si>
  <si>
    <t>Zidarska odprtina: 1,40X2,1m</t>
  </si>
  <si>
    <t>Oprema: Enokrilna vrata z delno zasteklitvijo - vhod planinci</t>
  </si>
  <si>
    <t>VRATA- ALUMINIJ</t>
  </si>
  <si>
    <t>Oznaka Izdelka: V4</t>
  </si>
  <si>
    <t>Zidarska odprtina: 0,9X2,10m</t>
  </si>
  <si>
    <t>Toplotna prevodnost:</t>
  </si>
  <si>
    <t>Oprema: Alu enokrilna vrata, krilo alumepa</t>
  </si>
  <si>
    <t>Dodatki: Vrata so opremljena s  kljuko in cilindrično ključavnico</t>
  </si>
  <si>
    <t>Oznaka Izdelka: V6</t>
  </si>
  <si>
    <t>Oznaka Izdelka: V8</t>
  </si>
  <si>
    <t>Zidarska odprtina: 0,9X2,00m</t>
  </si>
  <si>
    <t>VRATA- ULTRAPAS</t>
  </si>
  <si>
    <t>Oznaka Izdelka: V7</t>
  </si>
  <si>
    <t>Zidarska odprtina: 0,8x2,1m</t>
  </si>
  <si>
    <t>Zidarska odprtina: 0,7x2,1m</t>
  </si>
  <si>
    <t>Dodatki: Vrata so opremljena s cilindrično ključavnico in kljuko</t>
  </si>
  <si>
    <t>Dodatki: Vrata so opremljena s kljuko in zatičem za zaklepanje</t>
  </si>
  <si>
    <t>Dobava in polaganje kamnitih plošč iz svetlo sivega žganega granita  debeline 2 cm.  Plošče se  polaga na lepilo, ki je vključena v postavko. Cena vključuje tudi fugiranje. Čelo podstavka ob fasadi</t>
  </si>
  <si>
    <r>
      <t>Dobava in polaganje kamnitih plošč iz svetlega žganega granita deb. 2cm</t>
    </r>
    <r>
      <rPr>
        <b/>
        <u/>
        <sz val="11"/>
        <rFont val="Calibri"/>
        <family val="2"/>
        <scheme val="minor"/>
      </rPr>
      <t xml:space="preserve"> </t>
    </r>
    <r>
      <rPr>
        <sz val="11"/>
        <rFont val="Calibri"/>
        <family val="2"/>
        <scheme val="minor"/>
      </rPr>
      <t xml:space="preserve">(stopnišče) vključno s fugiranjem. Plošče se polaga na lepilo. Čelo </t>
    </r>
    <r>
      <rPr>
        <sz val="11"/>
        <color indexed="8"/>
        <rFont val="Calibri"/>
        <family val="2"/>
        <scheme val="minor"/>
      </rPr>
      <t xml:space="preserve"> stopnišča</t>
    </r>
  </si>
  <si>
    <r>
      <t>Dobava in polaganje kamnitih plošč iz svetlega žganega granita deb. 3cm</t>
    </r>
    <r>
      <rPr>
        <b/>
        <u/>
        <sz val="11"/>
        <rFont val="Calibri"/>
        <family val="2"/>
        <scheme val="minor"/>
      </rPr>
      <t xml:space="preserve"> </t>
    </r>
    <r>
      <rPr>
        <sz val="11"/>
        <rFont val="Calibri"/>
        <family val="2"/>
        <scheme val="minor"/>
      </rPr>
      <t>(stopnišče) vključno s fugiranjem. Plošče se polaga na cementno malto debeline 3 cm. R</t>
    </r>
    <r>
      <rPr>
        <sz val="11"/>
        <color indexed="8"/>
        <rFont val="Calibri"/>
        <family val="2"/>
        <scheme val="minor"/>
      </rPr>
      <t>ob stopnice mora biti protizdrsno zaključen. Nastopna ploskev stopnišča</t>
    </r>
  </si>
  <si>
    <t xml:space="preserve">Dobava in polaganje kamnitih polic iz svetlega žganega granita deb. 2cm vključno z nalimki in odkapnim nosom. Širina police do 35cm. Police se polaga na lepilo. </t>
  </si>
  <si>
    <t xml:space="preserve">Dobava in polaganje kamnitih pragov iz svetlega žganega granita deb. 3cm. Pragove se polaga na cementno malto debeline 3 cm. </t>
  </si>
  <si>
    <t>Rušenje obstoječih dimnikov</t>
  </si>
  <si>
    <t>Dobava in betoniranje lukenj v strehi na mestih dimnikov v debelini 15cm z betonom C 25/30 vključno z zgladitvijo površine za horizontalno hidroizloacijo, slepim opažem, vrtanjem sider in armaturo (poraba: beton 0,015m3/kos, opaž 0,1m2/kos, armatura 0,5kg/kos)</t>
  </si>
  <si>
    <t>Rušenje predelnih sten iz porolita</t>
  </si>
  <si>
    <t>Dobava in zdanje sten s trojnim zidakom s PCM vključno s prevozi in prenosi</t>
  </si>
  <si>
    <t>Dobava in montaža montažne preklade za vrata dolžine do 1,2m</t>
  </si>
  <si>
    <t xml:space="preserve">Dobava izdelava in montaža zidne obrobe iz jeklene pocinkane barvane pločevine r.š. 30-40cm, debeline 0,6mm </t>
  </si>
  <si>
    <t xml:space="preserve">Dobava izdelava in montaža kapne obrobe iz jeklene pocinkane barvane pločevine r.š. 20-30cm, debeline 0,6mm </t>
  </si>
  <si>
    <t xml:space="preserve">Dobava izdelava in montaža žlebov polkrožne oblike vključno z nosilci z jekleno pocinkano barvano pločevino r.š. do 45cm, debeline 0,6mm </t>
  </si>
  <si>
    <t>LESENE OBLOGE</t>
  </si>
  <si>
    <t>Dobava in polaganje kamnitih plošč iz svetlo sivega žganega granita  debeline 3 cm.  Plošče se  polaga na cementno malto debeline 2 cm, ki je vključena v postavko. Cena vključuje tudi fugiranje. Vrh podstavka ob fasadi-sedalo</t>
  </si>
  <si>
    <t>Dobava in obloga zunanjega kamnitega sedala z macesnovimi letvami dimenzije 10/4,5cm s fugo dimenzije 2,5cm, glej detajl arhitektura. Vse komlet oblano, barvano in montirano</t>
  </si>
  <si>
    <t>SKUPAJ LESENE OBLOGE</t>
  </si>
  <si>
    <t>Dobava in montaža valovite strešne kritine nadstreškov vključno s polaganjem tramičev in  letev na razmaku primernem kritini, letve so oblane in 2x barvane v barvi oziroma odtenku po izboruu projektanta in investitorja.</t>
  </si>
  <si>
    <t>LESENE KONSTRUKCIJE</t>
  </si>
  <si>
    <t>Dobava in obloga notranjega tlaka s talnimi granitogres ploščicami z nedrsečo površino I.kvalitete na lepilo, s fugiranjem s fugirno maso vključno z obzidno stenco (batiškopo) viš 10cm (stenca iz enakega granitogresa kot je tlak) In potrebnimi talnimi dilatacijami. Obračuna se horizontalna projekcija prostora. Keramika do 18eur/m2</t>
  </si>
  <si>
    <t>Dobava in obloga notranjega tlaka v sanitarijah s talnimi granitogres ploščicami z nedrsečo površino I.kvalitete na vodotesno lepilo, s fugiranjem z vodotesno fugirno maso. In potrebnimi talnimi dilatacijami. Obračuna se horizontalna projekcija prostora. Keramika do 18eur/m2</t>
  </si>
  <si>
    <t>Dobava in obloga sten v sanitarijah s stenskimi sanitarnimi keramičnimi ploščicami I.kvalitete na vodotesno lepilo, s fugirajem z vodotesno fugirno maso vključno s PVC zaključnimi in vogalnimi letvicami. Keramika do 18eur/m2</t>
  </si>
  <si>
    <t>Dobava in obloga sten  v kuhinji med pultom in visečimi omaricami  s stenskimi  keramičnimi ploščicami I.kvalitete na vodotesno lepilo, s fugirajem z vodotesno fugirno maso vključno s PVC zaključnimi in vogalnimi letvicami. Keramika do 18eur/m2</t>
  </si>
  <si>
    <t>Dodatki: Vrata so opremljena  s kljuko, cilindrično ključavnico, tankimi žaluzijami na notranji strani ter s polkni iz macesna z možnostjo zaklepanja z zunanje strani.</t>
  </si>
  <si>
    <t>NEPREDVIDENA DELA</t>
  </si>
  <si>
    <t>Obnova obstoječih lesenih oken velokosti do 2,5m2, vključno z okvirji, polkni, rešetko, zunanjo ter notranjo polico. Obnova komplet z brušenjem, lakiranjem ter obnovo mehanizma.</t>
  </si>
  <si>
    <t>Dobava ter komplet pleskanje zaključnega sloja fasadno barvo kpl s prednamazom in barvo v tonu po izboru projektanta. vključno z dobavo materiala, prenosi, transporti, vsemi pomožnimi deli ter vsem drobnim materialom.</t>
  </si>
  <si>
    <t>11a</t>
  </si>
  <si>
    <t>Grobi in fini omet zidov z apneno-cementno malto na opečni zid. Na spoju različnih materialov je potrebno uporabiti armirno mrežico (omet kjer je odstranjena stenska keramika)</t>
  </si>
  <si>
    <t>OPCIJA</t>
  </si>
  <si>
    <t>1a</t>
  </si>
  <si>
    <t>Obnova obstoječih lesenih polken-eneko kot obstoječe do 2,5m2,   kompletizdelava in montaža.</t>
  </si>
  <si>
    <t>III.</t>
  </si>
  <si>
    <t>ELEKTRO INSTALACIJE</t>
  </si>
  <si>
    <t>STROJNE INSTALACIJE</t>
  </si>
  <si>
    <t>Skupaj z DDV 22%</t>
  </si>
  <si>
    <t>IV.</t>
  </si>
</sst>
</file>

<file path=xl/styles.xml><?xml version="1.0" encoding="utf-8"?>
<styleSheet xmlns="http://schemas.openxmlformats.org/spreadsheetml/2006/main">
  <numFmts count="3">
    <numFmt numFmtId="43" formatCode="_-* #,##0.00\ _€_-;\-* #,##0.00\ _€_-;_-* &quot;-&quot;??\ _€_-;_-@_-"/>
    <numFmt numFmtId="164" formatCode="#,##0.000"/>
    <numFmt numFmtId="165" formatCode="_-* #,##0.00\ _S_I_T_-;\-* #,##0.00\ _S_I_T_-;_-* &quot;-&quot;??\ _S_I_T_-;_-@_-"/>
  </numFmts>
  <fonts count="52">
    <font>
      <sz val="11"/>
      <color theme="1"/>
      <name val="Calibri"/>
      <family val="2"/>
      <scheme val="minor"/>
    </font>
    <font>
      <sz val="11"/>
      <color indexed="8"/>
      <name val="Calibri"/>
      <family val="2"/>
      <charset val="238"/>
    </font>
    <font>
      <sz val="8"/>
      <name val="Calibri"/>
      <family val="2"/>
    </font>
    <font>
      <sz val="11"/>
      <color rgb="FFFF0000"/>
      <name val="Calibri"/>
      <family val="2"/>
      <charset val="238"/>
      <scheme val="minor"/>
    </font>
    <font>
      <b/>
      <sz val="11"/>
      <color theme="1"/>
      <name val="Calibri"/>
      <family val="2"/>
      <charset val="238"/>
      <scheme val="minor"/>
    </font>
    <font>
      <sz val="11"/>
      <name val="Calibri"/>
      <family val="2"/>
      <charset val="238"/>
    </font>
    <font>
      <b/>
      <sz val="11"/>
      <color rgb="FF92D050"/>
      <name val="Calibri"/>
      <family val="2"/>
      <charset val="238"/>
      <scheme val="minor"/>
    </font>
    <font>
      <sz val="11"/>
      <color rgb="FF92D050"/>
      <name val="Calibri"/>
      <family val="2"/>
      <charset val="238"/>
      <scheme val="minor"/>
    </font>
    <font>
      <sz val="11"/>
      <color rgb="FF92D050"/>
      <name val="Calibri"/>
      <family val="2"/>
      <scheme val="minor"/>
    </font>
    <font>
      <b/>
      <sz val="11"/>
      <color rgb="FF92D050"/>
      <name val="Calibri"/>
      <family val="2"/>
      <scheme val="minor"/>
    </font>
    <font>
      <b/>
      <sz val="11"/>
      <color rgb="FFFF0000"/>
      <name val="Calibri"/>
      <family val="2"/>
      <charset val="238"/>
      <scheme val="minor"/>
    </font>
    <font>
      <b/>
      <sz val="10"/>
      <name val="Arial CE"/>
      <family val="2"/>
      <charset val="238"/>
    </font>
    <font>
      <sz val="8"/>
      <name val="Arial CE"/>
      <family val="2"/>
      <charset val="238"/>
    </font>
    <font>
      <b/>
      <sz val="12"/>
      <name val="Arial CE"/>
      <charset val="238"/>
    </font>
    <font>
      <b/>
      <sz val="12"/>
      <name val="Arial CE"/>
      <family val="2"/>
      <charset val="238"/>
    </font>
    <font>
      <b/>
      <sz val="8"/>
      <name val="Arial CE"/>
      <family val="2"/>
      <charset val="238"/>
    </font>
    <font>
      <b/>
      <sz val="8"/>
      <name val="Arial CE"/>
    </font>
    <font>
      <sz val="8"/>
      <color rgb="FFFF0000"/>
      <name val="Arial CE"/>
      <family val="2"/>
      <charset val="238"/>
    </font>
    <font>
      <sz val="12"/>
      <name val="Arial"/>
      <family val="2"/>
    </font>
    <font>
      <u/>
      <sz val="12"/>
      <name val="Arial"/>
      <family val="2"/>
    </font>
    <font>
      <b/>
      <sz val="11"/>
      <color theme="1"/>
      <name val="Calibri"/>
      <family val="2"/>
      <scheme val="minor"/>
    </font>
    <font>
      <sz val="10"/>
      <name val="Arial"/>
      <family val="2"/>
      <charset val="238"/>
    </font>
    <font>
      <sz val="10"/>
      <name val="Arial"/>
      <family val="2"/>
    </font>
    <font>
      <sz val="11"/>
      <color indexed="9"/>
      <name val="Calibri"/>
      <family val="2"/>
      <charset val="238"/>
    </font>
    <font>
      <sz val="10"/>
      <name val="Arial CE"/>
      <charset val="238"/>
    </font>
    <font>
      <sz val="11"/>
      <color indexed="17"/>
      <name val="Calibri"/>
      <family val="2"/>
      <charset val="238"/>
    </font>
    <font>
      <b/>
      <sz val="11"/>
      <color indexed="63"/>
      <name val="Calibri"/>
      <family val="2"/>
      <charset val="238"/>
    </font>
    <font>
      <b/>
      <sz val="18"/>
      <color indexed="56"/>
      <name val="Cambria"/>
      <family val="2"/>
      <charset val="238"/>
    </font>
    <font>
      <sz val="10"/>
      <name val="Arial CE"/>
      <family val="2"/>
      <charset val="238"/>
    </font>
    <font>
      <sz val="12"/>
      <name val="Times New Roman CE"/>
      <family val="1"/>
      <charset val="238"/>
    </font>
    <font>
      <sz val="11"/>
      <color indexed="10"/>
      <name val="Calibri"/>
      <family val="2"/>
      <charset val="238"/>
    </font>
    <font>
      <sz val="10"/>
      <name val="Helv"/>
      <charset val="204"/>
    </font>
    <font>
      <sz val="10"/>
      <name val="Arial Narrow"/>
      <family val="2"/>
    </font>
    <font>
      <i/>
      <sz val="11"/>
      <name val="Calibri"/>
      <family val="2"/>
    </font>
    <font>
      <sz val="8"/>
      <name val="Calibri"/>
      <family val="2"/>
      <charset val="238"/>
      <scheme val="minor"/>
    </font>
    <font>
      <sz val="11"/>
      <name val="Calibri"/>
      <family val="2"/>
      <scheme val="minor"/>
    </font>
    <font>
      <b/>
      <sz val="11"/>
      <name val="Calibri"/>
      <family val="2"/>
      <charset val="238"/>
    </font>
    <font>
      <b/>
      <sz val="10"/>
      <name val="Arial Narrow"/>
      <family val="2"/>
    </font>
    <font>
      <i/>
      <sz val="12"/>
      <name val="Calibri"/>
      <family val="2"/>
    </font>
    <font>
      <b/>
      <sz val="11"/>
      <name val="Calibri"/>
      <family val="2"/>
    </font>
    <font>
      <sz val="9"/>
      <name val="Calibri"/>
      <family val="2"/>
      <charset val="238"/>
    </font>
    <font>
      <i/>
      <sz val="10"/>
      <name val="Arial Narrow"/>
      <family val="2"/>
    </font>
    <font>
      <sz val="10"/>
      <name val="Calibri"/>
      <family val="2"/>
      <charset val="238"/>
      <scheme val="minor"/>
    </font>
    <font>
      <i/>
      <sz val="11"/>
      <name val="Calibri"/>
      <family val="2"/>
      <charset val="238"/>
    </font>
    <font>
      <sz val="11"/>
      <color theme="1"/>
      <name val="Calibri"/>
      <family val="2"/>
      <scheme val="minor"/>
    </font>
    <font>
      <sz val="11"/>
      <name val="Arial CE"/>
      <charset val="238"/>
    </font>
    <font>
      <sz val="10"/>
      <name val="Times New Roman"/>
      <family val="1"/>
      <charset val="238"/>
    </font>
    <font>
      <b/>
      <u/>
      <sz val="11"/>
      <name val="Calibri"/>
      <family val="2"/>
      <scheme val="minor"/>
    </font>
    <font>
      <sz val="11"/>
      <color indexed="8"/>
      <name val="Calibri"/>
      <family val="2"/>
      <scheme val="minor"/>
    </font>
    <font>
      <sz val="11"/>
      <name val="Calibri"/>
      <family val="2"/>
    </font>
    <font>
      <b/>
      <i/>
      <sz val="11"/>
      <name val="Calibri"/>
      <family val="2"/>
    </font>
    <font>
      <b/>
      <i/>
      <sz val="12"/>
      <name val="Calibri"/>
      <family val="2"/>
      <charset val="238"/>
    </font>
  </fonts>
  <fills count="22">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theme="0" tint="-4.9989318521683403E-2"/>
        <bgColor indexed="64"/>
      </patternFill>
    </fill>
  </fills>
  <borders count="69">
    <border>
      <left/>
      <right/>
      <top/>
      <bottom/>
      <diagonal/>
    </border>
    <border>
      <left/>
      <right/>
      <top style="medium">
        <color indexed="64"/>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style="thin">
        <color auto="1"/>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style="thin">
        <color auto="1"/>
      </top>
      <bottom style="thin">
        <color auto="1"/>
      </bottom>
      <diagonal/>
    </border>
    <border>
      <left style="thin">
        <color auto="1"/>
      </left>
      <right/>
      <top style="medium">
        <color auto="1"/>
      </top>
      <bottom style="thin">
        <color auto="1"/>
      </bottom>
      <diagonal/>
    </border>
    <border>
      <left style="thin">
        <color auto="1"/>
      </left>
      <right/>
      <top/>
      <bottom/>
      <diagonal/>
    </border>
    <border>
      <left style="medium">
        <color auto="1"/>
      </left>
      <right style="thin">
        <color auto="1"/>
      </right>
      <top/>
      <bottom style="medium">
        <color auto="1"/>
      </bottom>
      <diagonal/>
    </border>
    <border>
      <left style="medium">
        <color auto="1"/>
      </left>
      <right style="thin">
        <color auto="1"/>
      </right>
      <top style="dashed">
        <color auto="1"/>
      </top>
      <bottom style="medium">
        <color auto="1"/>
      </bottom>
      <diagonal/>
    </border>
    <border>
      <left style="thin">
        <color auto="1"/>
      </left>
      <right style="thin">
        <color auto="1"/>
      </right>
      <top style="dashed">
        <color auto="1"/>
      </top>
      <bottom style="medium">
        <color auto="1"/>
      </bottom>
      <diagonal/>
    </border>
    <border>
      <left style="thin">
        <color auto="1"/>
      </left>
      <right style="medium">
        <color auto="1"/>
      </right>
      <top style="dashed">
        <color auto="1"/>
      </top>
      <bottom style="medium">
        <color auto="1"/>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dashDot">
        <color auto="1"/>
      </left>
      <right style="dashDot">
        <color auto="1"/>
      </right>
      <top style="dashDot">
        <color auto="1"/>
      </top>
      <bottom style="dashDot">
        <color auto="1"/>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auto="1"/>
      </left>
      <right style="thin">
        <color auto="1"/>
      </right>
      <top/>
      <bottom style="thin">
        <color auto="1"/>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style="medium">
        <color indexed="64"/>
      </left>
      <right/>
      <top/>
      <bottom style="thin">
        <color indexed="64"/>
      </bottom>
      <diagonal/>
    </border>
  </borders>
  <cellStyleXfs count="68">
    <xf numFmtId="0" fontId="0" fillId="0" borderId="0"/>
    <xf numFmtId="0" fontId="21" fillId="0" borderId="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6"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39" fontId="24" fillId="0" borderId="0" applyFont="0" applyFill="0" applyBorder="0" applyAlignment="0" applyProtection="0"/>
    <xf numFmtId="0" fontId="25" fillId="8" borderId="0" applyNumberFormat="0" applyBorder="0" applyAlignment="0" applyProtection="0"/>
    <xf numFmtId="0" fontId="25" fillId="8" borderId="0" applyNumberFormat="0" applyBorder="0" applyAlignment="0" applyProtection="0"/>
    <xf numFmtId="0" fontId="26" fillId="20" borderId="64" applyNumberFormat="0" applyAlignment="0" applyProtection="0"/>
    <xf numFmtId="0" fontId="27" fillId="0" borderId="0" applyNumberFormat="0" applyFill="0" applyBorder="0" applyAlignment="0" applyProtection="0"/>
    <xf numFmtId="0" fontId="22" fillId="0" borderId="0"/>
    <xf numFmtId="0" fontId="21" fillId="0" borderId="0"/>
    <xf numFmtId="0" fontId="28" fillId="0" borderId="0"/>
    <xf numFmtId="0" fontId="21" fillId="0" borderId="0"/>
    <xf numFmtId="0" fontId="24" fillId="0" borderId="0"/>
    <xf numFmtId="0" fontId="24" fillId="0" borderId="0"/>
    <xf numFmtId="0" fontId="22" fillId="0" borderId="0"/>
    <xf numFmtId="0" fontId="29" fillId="0" borderId="0"/>
    <xf numFmtId="0" fontId="24" fillId="0" borderId="0"/>
    <xf numFmtId="0" fontId="30" fillId="0" borderId="0" applyNumberFormat="0" applyFill="0" applyBorder="0" applyAlignment="0" applyProtection="0"/>
    <xf numFmtId="0" fontId="26" fillId="20" borderId="64" applyNumberFormat="0" applyAlignment="0" applyProtection="0"/>
    <xf numFmtId="0" fontId="31" fillId="0" borderId="0"/>
    <xf numFmtId="0" fontId="27" fillId="0" borderId="0" applyNumberFormat="0" applyFill="0" applyBorder="0" applyAlignment="0" applyProtection="0"/>
    <xf numFmtId="165" fontId="21" fillId="0" borderId="0" applyFont="0" applyFill="0" applyBorder="0" applyAlignment="0" applyProtection="0"/>
    <xf numFmtId="0" fontId="30" fillId="0" borderId="0" applyNumberFormat="0" applyFill="0" applyBorder="0" applyAlignment="0" applyProtection="0"/>
    <xf numFmtId="0" fontId="21" fillId="0" borderId="0"/>
    <xf numFmtId="0" fontId="26" fillId="20" borderId="66" applyNumberFormat="0" applyAlignment="0" applyProtection="0"/>
    <xf numFmtId="0" fontId="26" fillId="20" borderId="66" applyNumberFormat="0" applyAlignment="0" applyProtection="0"/>
    <xf numFmtId="0" fontId="26" fillId="20" borderId="65" applyNumberFormat="0" applyAlignment="0" applyProtection="0"/>
    <xf numFmtId="0" fontId="26" fillId="20" borderId="65" applyNumberFormat="0" applyAlignment="0" applyProtection="0"/>
    <xf numFmtId="43" fontId="44" fillId="0" borderId="0" applyFont="0" applyFill="0" applyBorder="0" applyAlignment="0" applyProtection="0"/>
    <xf numFmtId="0" fontId="45" fillId="0" borderId="0"/>
    <xf numFmtId="0" fontId="21" fillId="0" borderId="0"/>
    <xf numFmtId="9" fontId="45" fillId="0" borderId="0" applyFont="0" applyFill="0" applyBorder="0" applyAlignment="0" applyProtection="0"/>
    <xf numFmtId="0" fontId="1" fillId="0" borderId="0"/>
  </cellStyleXfs>
  <cellXfs count="339">
    <xf numFmtId="0" fontId="0" fillId="0" borderId="0" xfId="0"/>
    <xf numFmtId="0" fontId="0" fillId="0" borderId="0" xfId="0" applyAlignment="1">
      <alignment wrapText="1"/>
    </xf>
    <xf numFmtId="4" fontId="0" fillId="0" borderId="0" xfId="0" applyNumberFormat="1"/>
    <xf numFmtId="0" fontId="0" fillId="0" borderId="1" xfId="0" applyBorder="1"/>
    <xf numFmtId="0" fontId="0" fillId="0" borderId="2" xfId="0" applyBorder="1" applyAlignment="1">
      <alignment horizontal="center"/>
    </xf>
    <xf numFmtId="0" fontId="0" fillId="0" borderId="2" xfId="0" applyBorder="1"/>
    <xf numFmtId="0" fontId="0" fillId="0" borderId="4" xfId="0" applyBorder="1"/>
    <xf numFmtId="0" fontId="0" fillId="0" borderId="3" xfId="0" applyBorder="1"/>
    <xf numFmtId="0" fontId="0" fillId="0" borderId="6" xfId="0" applyBorder="1"/>
    <xf numFmtId="0" fontId="0" fillId="0" borderId="7" xfId="0" applyBorder="1"/>
    <xf numFmtId="0" fontId="4" fillId="0" borderId="3" xfId="0" applyFont="1" applyBorder="1"/>
    <xf numFmtId="4" fontId="0" fillId="0" borderId="3" xfId="0" applyNumberFormat="1" applyBorder="1"/>
    <xf numFmtId="4" fontId="4" fillId="0" borderId="3" xfId="0" applyNumberFormat="1" applyFont="1" applyBorder="1"/>
    <xf numFmtId="0" fontId="4" fillId="0" borderId="2" xfId="0" applyFont="1" applyBorder="1" applyAlignment="1">
      <alignment horizontal="center"/>
    </xf>
    <xf numFmtId="0" fontId="4" fillId="0" borderId="2" xfId="0" applyFont="1" applyBorder="1"/>
    <xf numFmtId="0" fontId="4" fillId="0" borderId="4" xfId="0" applyFont="1" applyBorder="1" applyAlignment="1">
      <alignment horizontal="center"/>
    </xf>
    <xf numFmtId="0" fontId="4" fillId="0" borderId="4" xfId="0" applyFont="1" applyBorder="1"/>
    <xf numFmtId="0" fontId="4" fillId="0" borderId="8" xfId="0" applyFont="1" applyBorder="1"/>
    <xf numFmtId="0" fontId="4" fillId="0" borderId="9" xfId="0" applyFont="1" applyBorder="1"/>
    <xf numFmtId="0" fontId="4" fillId="0" borderId="9" xfId="0" applyFont="1" applyBorder="1" applyAlignment="1">
      <alignment wrapText="1"/>
    </xf>
    <xf numFmtId="0" fontId="0" fillId="0" borderId="9" xfId="0" applyBorder="1"/>
    <xf numFmtId="0" fontId="4" fillId="0" borderId="0" xfId="0" applyFont="1"/>
    <xf numFmtId="0" fontId="4" fillId="0" borderId="9" xfId="0" applyFont="1" applyBorder="1" applyAlignment="1">
      <alignment horizontal="center"/>
    </xf>
    <xf numFmtId="0" fontId="0" fillId="0" borderId="3" xfId="0" applyBorder="1" applyAlignment="1">
      <alignment wrapText="1"/>
    </xf>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7" xfId="0" applyBorder="1" applyAlignment="1">
      <alignment wrapText="1"/>
    </xf>
    <xf numFmtId="0" fontId="0" fillId="0" borderId="27" xfId="0" applyBorder="1"/>
    <xf numFmtId="0" fontId="0" fillId="0" borderId="28" xfId="0" applyBorder="1"/>
    <xf numFmtId="0" fontId="0" fillId="0" borderId="29" xfId="0" applyBorder="1"/>
    <xf numFmtId="0" fontId="0" fillId="0" borderId="2" xfId="0" applyBorder="1" applyAlignment="1">
      <alignment wrapText="1"/>
    </xf>
    <xf numFmtId="0" fontId="0" fillId="0" borderId="2" xfId="0" quotePrefix="1" applyBorder="1"/>
    <xf numFmtId="0" fontId="0" fillId="0" borderId="30" xfId="0" applyBorder="1" applyAlignment="1">
      <alignment wrapText="1"/>
    </xf>
    <xf numFmtId="0" fontId="0" fillId="0" borderId="10" xfId="0" applyBorder="1" applyAlignment="1">
      <alignment wrapText="1"/>
    </xf>
    <xf numFmtId="0" fontId="0" fillId="0" borderId="13" xfId="0" applyBorder="1" applyAlignment="1">
      <alignment wrapText="1"/>
    </xf>
    <xf numFmtId="0" fontId="4" fillId="0" borderId="31" xfId="0" applyFont="1" applyBorder="1"/>
    <xf numFmtId="0" fontId="4" fillId="0" borderId="32" xfId="0" applyFont="1" applyBorder="1"/>
    <xf numFmtId="0" fontId="0" fillId="0" borderId="23" xfId="0" applyBorder="1" applyAlignment="1">
      <alignment wrapText="1"/>
    </xf>
    <xf numFmtId="4" fontId="0" fillId="0" borderId="11" xfId="0" applyNumberFormat="1" applyBorder="1"/>
    <xf numFmtId="4" fontId="0" fillId="0" borderId="2" xfId="0" applyNumberFormat="1" applyBorder="1"/>
    <xf numFmtId="4" fontId="0" fillId="0" borderId="16" xfId="0" applyNumberFormat="1" applyBorder="1"/>
    <xf numFmtId="4" fontId="0" fillId="0" borderId="2" xfId="0" applyNumberFormat="1" applyBorder="1" applyAlignment="1">
      <alignment wrapText="1"/>
    </xf>
    <xf numFmtId="4" fontId="0" fillId="0" borderId="4" xfId="0" applyNumberFormat="1" applyBorder="1"/>
    <xf numFmtId="4" fontId="4" fillId="0" borderId="2" xfId="0" applyNumberFormat="1" applyFont="1" applyBorder="1"/>
    <xf numFmtId="0" fontId="4" fillId="0" borderId="21" xfId="0" applyFont="1" applyBorder="1"/>
    <xf numFmtId="4" fontId="7" fillId="0" borderId="3" xfId="0" applyNumberFormat="1" applyFont="1" applyBorder="1"/>
    <xf numFmtId="4" fontId="6" fillId="0" borderId="3" xfId="0" applyNumberFormat="1" applyFont="1" applyBorder="1"/>
    <xf numFmtId="0" fontId="8" fillId="0" borderId="3" xfId="0" applyFont="1" applyBorder="1" applyAlignment="1">
      <alignment wrapText="1"/>
    </xf>
    <xf numFmtId="0" fontId="8" fillId="0" borderId="11" xfId="0" applyFont="1" applyBorder="1"/>
    <xf numFmtId="0" fontId="8" fillId="0" borderId="2" xfId="0" applyFont="1" applyBorder="1"/>
    <xf numFmtId="0" fontId="8" fillId="0" borderId="24" xfId="0" applyFont="1" applyBorder="1"/>
    <xf numFmtId="0" fontId="9" fillId="0" borderId="21" xfId="0" applyFont="1" applyBorder="1"/>
    <xf numFmtId="0" fontId="8" fillId="0" borderId="4" xfId="0" applyFont="1" applyBorder="1"/>
    <xf numFmtId="0" fontId="6" fillId="0" borderId="3" xfId="0" applyFont="1" applyBorder="1"/>
    <xf numFmtId="0" fontId="6" fillId="0" borderId="7" xfId="0" applyFont="1" applyBorder="1" applyAlignment="1">
      <alignment wrapText="1"/>
    </xf>
    <xf numFmtId="0" fontId="0" fillId="0" borderId="35" xfId="0" applyBorder="1"/>
    <xf numFmtId="4" fontId="10" fillId="0" borderId="3" xfId="0" applyNumberFormat="1" applyFont="1" applyBorder="1"/>
    <xf numFmtId="0" fontId="4" fillId="0" borderId="2" xfId="0" applyFont="1" applyBorder="1" applyAlignment="1">
      <alignment horizontal="center" vertical="center"/>
    </xf>
    <xf numFmtId="0" fontId="4" fillId="0" borderId="7" xfId="0" applyFont="1" applyBorder="1"/>
    <xf numFmtId="0" fontId="0" fillId="0" borderId="3" xfId="0" applyBorder="1" applyAlignment="1">
      <alignment horizontal="center"/>
    </xf>
    <xf numFmtId="0" fontId="0" fillId="0" borderId="3" xfId="0" applyBorder="1" applyAlignment="1">
      <alignment horizontal="center" wrapText="1"/>
    </xf>
    <xf numFmtId="4" fontId="4" fillId="0" borderId="2" xfId="0" applyNumberFormat="1" applyFont="1" applyBorder="1" applyAlignment="1">
      <alignment horizontal="center"/>
    </xf>
    <xf numFmtId="4" fontId="4" fillId="0" borderId="2" xfId="0" applyNumberFormat="1" applyFont="1" applyBorder="1" applyAlignment="1">
      <alignment horizontal="center" wrapText="1"/>
    </xf>
    <xf numFmtId="4" fontId="4" fillId="0" borderId="0" xfId="0" applyNumberFormat="1" applyFont="1"/>
    <xf numFmtId="0" fontId="10" fillId="0" borderId="2" xfId="0" applyFont="1" applyBorder="1" applyAlignment="1">
      <alignment horizontal="center" vertical="center"/>
    </xf>
    <xf numFmtId="0" fontId="3" fillId="0" borderId="2" xfId="0" applyFont="1" applyBorder="1"/>
    <xf numFmtId="0" fontId="10" fillId="0" borderId="2" xfId="0" applyFont="1" applyBorder="1"/>
    <xf numFmtId="0" fontId="0" fillId="0" borderId="37" xfId="0" applyBorder="1"/>
    <xf numFmtId="0" fontId="0" fillId="0" borderId="8" xfId="0" applyBorder="1"/>
    <xf numFmtId="0" fontId="0" fillId="0" borderId="6" xfId="0" applyBorder="1" applyAlignment="1">
      <alignment wrapText="1"/>
    </xf>
    <xf numFmtId="0" fontId="0" fillId="0" borderId="38" xfId="0" applyBorder="1"/>
    <xf numFmtId="0" fontId="4" fillId="0" borderId="38" xfId="0" applyFont="1" applyBorder="1" applyAlignment="1">
      <alignment horizontal="center"/>
    </xf>
    <xf numFmtId="0" fontId="11" fillId="0" borderId="0" xfId="0" applyFont="1"/>
    <xf numFmtId="4" fontId="12" fillId="0" borderId="0" xfId="0" applyNumberFormat="1" applyFont="1"/>
    <xf numFmtId="3" fontId="12" fillId="0" borderId="0" xfId="0" applyNumberFormat="1" applyFont="1"/>
    <xf numFmtId="4" fontId="12" fillId="0" borderId="0" xfId="0" applyNumberFormat="1" applyFont="1" applyProtection="1">
      <protection locked="0"/>
    </xf>
    <xf numFmtId="4" fontId="12" fillId="0" borderId="0" xfId="0" applyNumberFormat="1" applyFont="1" applyAlignment="1">
      <alignment horizontal="center"/>
    </xf>
    <xf numFmtId="2" fontId="13" fillId="0" borderId="0" xfId="0" applyNumberFormat="1" applyFont="1" applyAlignment="1">
      <alignment horizontal="center" vertical="center"/>
    </xf>
    <xf numFmtId="4" fontId="12" fillId="0" borderId="0" xfId="0" applyNumberFormat="1" applyFont="1" applyAlignment="1">
      <alignment horizontal="center" vertical="center"/>
    </xf>
    <xf numFmtId="164" fontId="12" fillId="0" borderId="0" xfId="0" applyNumberFormat="1" applyFont="1" applyAlignment="1">
      <alignment horizontal="center" vertical="center"/>
    </xf>
    <xf numFmtId="4" fontId="14" fillId="0" borderId="0" xfId="0" applyNumberFormat="1" applyFont="1" applyAlignment="1">
      <alignment horizontal="center" vertical="center"/>
    </xf>
    <xf numFmtId="2" fontId="14" fillId="0" borderId="0" xfId="0" applyNumberFormat="1" applyFont="1" applyAlignment="1">
      <alignment horizontal="center" vertical="center"/>
    </xf>
    <xf numFmtId="164" fontId="12" fillId="0" borderId="0" xfId="0" applyNumberFormat="1" applyFont="1"/>
    <xf numFmtId="3" fontId="12" fillId="0" borderId="0" xfId="0" applyNumberFormat="1" applyFont="1" applyAlignment="1">
      <alignment horizontal="center"/>
    </xf>
    <xf numFmtId="3" fontId="16" fillId="3" borderId="3" xfId="0" applyNumberFormat="1" applyFont="1" applyFill="1" applyBorder="1" applyAlignment="1">
      <alignment horizontal="center" vertical="center"/>
    </xf>
    <xf numFmtId="4" fontId="12" fillId="0" borderId="43" xfId="0" applyNumberFormat="1" applyFont="1" applyBorder="1" applyAlignment="1">
      <alignment horizontal="center" vertical="center" wrapText="1"/>
    </xf>
    <xf numFmtId="4" fontId="12" fillId="3" borderId="21" xfId="0" applyNumberFormat="1" applyFont="1" applyFill="1" applyBorder="1" applyAlignment="1">
      <alignment horizontal="center" vertical="center" wrapText="1"/>
    </xf>
    <xf numFmtId="164" fontId="12" fillId="3" borderId="21" xfId="0" applyNumberFormat="1" applyFont="1" applyFill="1" applyBorder="1" applyAlignment="1">
      <alignment horizontal="center" vertical="center"/>
    </xf>
    <xf numFmtId="4" fontId="12" fillId="0" borderId="21" xfId="0" applyNumberFormat="1" applyFont="1" applyBorder="1" applyAlignment="1">
      <alignment horizontal="center" vertical="center"/>
    </xf>
    <xf numFmtId="4" fontId="12" fillId="3" borderId="44" xfId="0" applyNumberFormat="1" applyFont="1" applyFill="1" applyBorder="1" applyAlignment="1">
      <alignment horizontal="center" vertical="center" wrapText="1"/>
    </xf>
    <xf numFmtId="4" fontId="16" fillId="0" borderId="3" xfId="0" applyNumberFormat="1" applyFont="1" applyBorder="1" applyAlignment="1">
      <alignment horizontal="center" vertical="center"/>
    </xf>
    <xf numFmtId="4" fontId="16" fillId="0" borderId="7" xfId="0" applyNumberFormat="1" applyFont="1" applyBorder="1" applyAlignment="1">
      <alignment horizontal="center" vertical="center"/>
    </xf>
    <xf numFmtId="4" fontId="16" fillId="3" borderId="20" xfId="0" applyNumberFormat="1" applyFont="1" applyFill="1" applyBorder="1" applyAlignment="1">
      <alignment horizontal="center" vertical="center"/>
    </xf>
    <xf numFmtId="2" fontId="16" fillId="0" borderId="36" xfId="0" applyNumberFormat="1" applyFont="1" applyBorder="1" applyAlignment="1">
      <alignment horizontal="center" vertical="center"/>
    </xf>
    <xf numFmtId="4" fontId="12" fillId="3" borderId="20" xfId="0" applyNumberFormat="1" applyFont="1" applyFill="1" applyBorder="1" applyAlignment="1">
      <alignment horizontal="center" vertical="center"/>
    </xf>
    <xf numFmtId="164" fontId="12" fillId="0" borderId="21" xfId="0" applyNumberFormat="1" applyFont="1" applyBorder="1" applyAlignment="1">
      <alignment horizontal="center" vertical="center"/>
    </xf>
    <xf numFmtId="4" fontId="12" fillId="0" borderId="44" xfId="0" applyNumberFormat="1" applyFont="1" applyBorder="1" applyAlignment="1">
      <alignment horizontal="center" vertical="center"/>
    </xf>
    <xf numFmtId="4" fontId="16" fillId="0" borderId="3" xfId="0" applyNumberFormat="1" applyFont="1" applyBorder="1" applyAlignment="1">
      <alignment horizontal="center" vertical="center" wrapText="1"/>
    </xf>
    <xf numFmtId="4" fontId="16" fillId="0" borderId="36" xfId="0" applyNumberFormat="1" applyFont="1" applyBorder="1" applyAlignment="1">
      <alignment horizontal="center" vertical="center" wrapText="1"/>
    </xf>
    <xf numFmtId="4" fontId="12" fillId="0" borderId="36" xfId="0" applyNumberFormat="1" applyFont="1" applyBorder="1" applyAlignment="1">
      <alignment horizontal="center" vertical="center"/>
    </xf>
    <xf numFmtId="0" fontId="16" fillId="0" borderId="37" xfId="0" applyFont="1" applyBorder="1" applyAlignment="1">
      <alignment horizontal="center" vertical="center" wrapText="1"/>
    </xf>
    <xf numFmtId="0" fontId="16" fillId="0" borderId="37" xfId="0" applyFont="1" applyBorder="1" applyAlignment="1">
      <alignment horizontal="center" vertical="center"/>
    </xf>
    <xf numFmtId="4" fontId="12" fillId="0" borderId="46" xfId="0" applyNumberFormat="1" applyFont="1" applyBorder="1" applyAlignment="1">
      <alignment horizontal="center" vertical="center"/>
    </xf>
    <xf numFmtId="4" fontId="12" fillId="0" borderId="2" xfId="0" applyNumberFormat="1" applyFont="1" applyBorder="1" applyAlignment="1">
      <alignment horizontal="center" vertical="center"/>
    </xf>
    <xf numFmtId="4" fontId="13" fillId="2" borderId="9" xfId="0" applyNumberFormat="1" applyFont="1" applyFill="1" applyBorder="1" applyAlignment="1">
      <alignment vertical="center"/>
    </xf>
    <xf numFmtId="4" fontId="13" fillId="2" borderId="37" xfId="0" applyNumberFormat="1" applyFont="1" applyFill="1" applyBorder="1" applyAlignment="1">
      <alignment vertical="center"/>
    </xf>
    <xf numFmtId="0" fontId="18" fillId="0" borderId="0" xfId="0" applyFont="1"/>
    <xf numFmtId="0" fontId="0" fillId="0" borderId="63" xfId="0" applyBorder="1" applyAlignment="1">
      <alignment wrapText="1"/>
    </xf>
    <xf numFmtId="0" fontId="0" fillId="0" borderId="34" xfId="0" applyBorder="1"/>
    <xf numFmtId="0" fontId="0" fillId="0" borderId="56" xfId="0" applyBorder="1"/>
    <xf numFmtId="0" fontId="4" fillId="0" borderId="3" xfId="0" applyFont="1" applyBorder="1" applyAlignment="1">
      <alignment horizontal="center" vertical="top"/>
    </xf>
    <xf numFmtId="0" fontId="4" fillId="0" borderId="3" xfId="0" applyFont="1" applyBorder="1" applyAlignment="1">
      <alignment horizontal="center" vertical="top" wrapText="1"/>
    </xf>
    <xf numFmtId="0" fontId="6" fillId="0" borderId="3" xfId="0" applyFont="1" applyBorder="1" applyAlignment="1">
      <alignment horizontal="center" vertical="top" wrapText="1"/>
    </xf>
    <xf numFmtId="0" fontId="0" fillId="0" borderId="3" xfId="0" applyBorder="1" applyAlignment="1">
      <alignment horizontal="center" vertical="top"/>
    </xf>
    <xf numFmtId="0" fontId="4" fillId="0" borderId="6" xfId="0" applyFont="1" applyBorder="1" applyAlignment="1">
      <alignment horizontal="center" vertical="top" wrapText="1"/>
    </xf>
    <xf numFmtId="0" fontId="4" fillId="4" borderId="3" xfId="0" applyFont="1" applyFill="1" applyBorder="1" applyAlignment="1">
      <alignment horizontal="center" vertical="top" wrapText="1"/>
    </xf>
    <xf numFmtId="0" fontId="0" fillId="4" borderId="3" xfId="0" applyFill="1" applyBorder="1"/>
    <xf numFmtId="0" fontId="4" fillId="4" borderId="3" xfId="0" applyFont="1" applyFill="1" applyBorder="1"/>
    <xf numFmtId="0" fontId="4" fillId="5" borderId="3" xfId="0" applyFont="1" applyFill="1" applyBorder="1" applyAlignment="1">
      <alignment horizontal="center" vertical="top" wrapText="1"/>
    </xf>
    <xf numFmtId="0" fontId="0" fillId="5" borderId="3" xfId="0" applyFill="1" applyBorder="1"/>
    <xf numFmtId="0" fontId="4" fillId="5" borderId="3" xfId="0" applyFont="1" applyFill="1" applyBorder="1"/>
    <xf numFmtId="0" fontId="5" fillId="0" borderId="0" xfId="0" applyFont="1" applyAlignment="1">
      <alignment vertical="top" wrapText="1"/>
    </xf>
    <xf numFmtId="4" fontId="4" fillId="0" borderId="9" xfId="0" applyNumberFormat="1" applyFont="1" applyBorder="1"/>
    <xf numFmtId="4" fontId="20" fillId="0" borderId="3" xfId="0" applyNumberFormat="1" applyFont="1" applyBorder="1"/>
    <xf numFmtId="0" fontId="5" fillId="0" borderId="0" xfId="0" applyFont="1" applyAlignment="1">
      <alignment vertical="center" wrapText="1"/>
    </xf>
    <xf numFmtId="0" fontId="32" fillId="0" borderId="0" xfId="0" applyFont="1"/>
    <xf numFmtId="0" fontId="33" fillId="0" borderId="0" xfId="0" applyFont="1" applyAlignment="1">
      <alignment vertical="top" wrapText="1"/>
    </xf>
    <xf numFmtId="0" fontId="34" fillId="0" borderId="0" xfId="58" applyFont="1"/>
    <xf numFmtId="4" fontId="34" fillId="0" borderId="0" xfId="58" applyNumberFormat="1" applyFont="1"/>
    <xf numFmtId="0" fontId="5" fillId="0" borderId="0" xfId="0" applyFont="1" applyAlignment="1">
      <alignment wrapText="1"/>
    </xf>
    <xf numFmtId="4" fontId="32" fillId="0" borderId="0" xfId="0" applyNumberFormat="1" applyFont="1" applyAlignment="1">
      <alignment horizontal="center"/>
    </xf>
    <xf numFmtId="0" fontId="32" fillId="0" borderId="0" xfId="0" applyFont="1" applyAlignment="1">
      <alignment horizontal="center"/>
    </xf>
    <xf numFmtId="4" fontId="5" fillId="0" borderId="0" xfId="0" applyNumberFormat="1" applyFont="1" applyAlignment="1">
      <alignment horizontal="center"/>
    </xf>
    <xf numFmtId="0" fontId="5" fillId="0" borderId="0" xfId="0" applyFont="1" applyAlignment="1">
      <alignment horizontal="center"/>
    </xf>
    <xf numFmtId="0" fontId="36" fillId="0" borderId="0" xfId="0" applyFont="1"/>
    <xf numFmtId="0" fontId="5" fillId="0" borderId="0" xfId="0" applyFont="1"/>
    <xf numFmtId="0" fontId="32" fillId="0" borderId="0" xfId="0" applyFont="1" applyAlignment="1">
      <alignment horizontal="right" vertical="top" wrapText="1"/>
    </xf>
    <xf numFmtId="0" fontId="37" fillId="0" borderId="0" xfId="0" applyFont="1" applyAlignment="1">
      <alignment horizontal="justify" vertical="top" wrapText="1"/>
    </xf>
    <xf numFmtId="0" fontId="32" fillId="0" borderId="0" xfId="0" applyFont="1" applyAlignment="1">
      <alignment horizontal="center" wrapText="1"/>
    </xf>
    <xf numFmtId="4" fontId="32" fillId="0" borderId="0" xfId="0" applyNumberFormat="1" applyFont="1" applyAlignment="1">
      <alignment horizontal="center" wrapText="1"/>
    </xf>
    <xf numFmtId="0" fontId="38" fillId="0" borderId="0" xfId="0" applyFont="1" applyAlignment="1">
      <alignment horizontal="right" vertical="top"/>
    </xf>
    <xf numFmtId="0" fontId="38" fillId="0" borderId="0" xfId="0" applyFont="1"/>
    <xf numFmtId="0" fontId="38" fillId="0" borderId="0" xfId="0" applyFont="1" applyAlignment="1">
      <alignment horizontal="center"/>
    </xf>
    <xf numFmtId="4" fontId="38" fillId="0" borderId="0" xfId="0" applyNumberFormat="1" applyFont="1" applyAlignment="1">
      <alignment horizontal="center"/>
    </xf>
    <xf numFmtId="0" fontId="39" fillId="0" borderId="0" xfId="0" applyFont="1" applyAlignment="1">
      <alignment horizontal="right" vertical="top"/>
    </xf>
    <xf numFmtId="0" fontId="39" fillId="0" borderId="0" xfId="0" applyFont="1"/>
    <xf numFmtId="0" fontId="39" fillId="0" borderId="0" xfId="0" applyFont="1" applyAlignment="1">
      <alignment horizontal="center"/>
    </xf>
    <xf numFmtId="4" fontId="39" fillId="0" borderId="0" xfId="0" applyNumberFormat="1" applyFont="1" applyAlignment="1">
      <alignment horizontal="center"/>
    </xf>
    <xf numFmtId="0" fontId="39" fillId="0" borderId="0" xfId="0" applyFont="1" applyAlignment="1">
      <alignment horizontal="right" vertical="top" wrapText="1"/>
    </xf>
    <xf numFmtId="0" fontId="39" fillId="0" borderId="0" xfId="0" applyFont="1" applyAlignment="1">
      <alignment wrapText="1"/>
    </xf>
    <xf numFmtId="0" fontId="39" fillId="0" borderId="0" xfId="0" applyFont="1" applyAlignment="1">
      <alignment horizontal="center" wrapText="1"/>
    </xf>
    <xf numFmtId="4" fontId="39" fillId="0" borderId="0" xfId="0" applyNumberFormat="1" applyFont="1" applyAlignment="1">
      <alignment horizontal="center" wrapText="1"/>
    </xf>
    <xf numFmtId="0" fontId="36" fillId="0" borderId="0" xfId="0" applyFont="1" applyAlignment="1">
      <alignment horizontal="right" vertical="top"/>
    </xf>
    <xf numFmtId="0" fontId="36" fillId="0" borderId="0" xfId="0" applyFont="1" applyAlignment="1">
      <alignment wrapText="1"/>
    </xf>
    <xf numFmtId="0" fontId="36" fillId="0" borderId="1" xfId="0" applyFont="1" applyBorder="1"/>
    <xf numFmtId="0" fontId="5" fillId="0" borderId="1" xfId="0" applyFont="1" applyBorder="1" applyAlignment="1">
      <alignment horizontal="center"/>
    </xf>
    <xf numFmtId="4" fontId="5" fillId="0" borderId="1" xfId="0" applyNumberFormat="1" applyFont="1" applyBorder="1" applyAlignment="1">
      <alignment horizontal="center"/>
    </xf>
    <xf numFmtId="4" fontId="36" fillId="0" borderId="1" xfId="0" applyNumberFormat="1" applyFont="1" applyBorder="1" applyAlignment="1">
      <alignment horizontal="center"/>
    </xf>
    <xf numFmtId="4" fontId="5" fillId="0" borderId="0" xfId="0" applyNumberFormat="1" applyFont="1"/>
    <xf numFmtId="0" fontId="36" fillId="0" borderId="0" xfId="0" applyFont="1" applyAlignment="1">
      <alignment horizontal="center"/>
    </xf>
    <xf numFmtId="4" fontId="36" fillId="0" borderId="0" xfId="0" applyNumberFormat="1" applyFont="1" applyAlignment="1">
      <alignment horizontal="center"/>
    </xf>
    <xf numFmtId="0" fontId="36" fillId="2" borderId="0" xfId="0" applyFont="1" applyFill="1"/>
    <xf numFmtId="0" fontId="40" fillId="2" borderId="0" xfId="0" applyFont="1" applyFill="1" applyAlignment="1">
      <alignment horizontal="center"/>
    </xf>
    <xf numFmtId="4" fontId="40" fillId="2" borderId="0" xfId="0" applyNumberFormat="1" applyFont="1" applyFill="1" applyAlignment="1">
      <alignment horizontal="center"/>
    </xf>
    <xf numFmtId="0" fontId="41" fillId="0" borderId="0" xfId="0" applyFont="1" applyAlignment="1">
      <alignment vertical="top" wrapText="1"/>
    </xf>
    <xf numFmtId="0" fontId="5" fillId="0" borderId="0" xfId="0" applyFont="1" applyAlignment="1">
      <alignment horizontal="center" wrapText="1"/>
    </xf>
    <xf numFmtId="4" fontId="5" fillId="0" borderId="0" xfId="0" applyNumberFormat="1" applyFont="1" applyAlignment="1">
      <alignment horizontal="center" wrapText="1"/>
    </xf>
    <xf numFmtId="0" fontId="36" fillId="0" borderId="1" xfId="0" applyFont="1" applyBorder="1" applyAlignment="1">
      <alignment vertical="top"/>
    </xf>
    <xf numFmtId="0" fontId="42" fillId="0" borderId="0" xfId="0" applyFont="1" applyAlignment="1">
      <alignment horizontal="left" vertical="top" wrapText="1"/>
    </xf>
    <xf numFmtId="0" fontId="33" fillId="0" borderId="0" xfId="0" applyFont="1" applyAlignment="1">
      <alignment horizontal="center" wrapText="1"/>
    </xf>
    <xf numFmtId="4" fontId="35" fillId="0" borderId="0" xfId="0" applyNumberFormat="1" applyFont="1"/>
    <xf numFmtId="0" fontId="43" fillId="0" borderId="0" xfId="0" applyFont="1" applyAlignment="1">
      <alignment wrapText="1"/>
    </xf>
    <xf numFmtId="0" fontId="36" fillId="0" borderId="0" xfId="0" applyFont="1" applyAlignment="1">
      <alignment vertical="top"/>
    </xf>
    <xf numFmtId="0" fontId="36" fillId="2" borderId="0" xfId="0" applyFont="1" applyFill="1" applyAlignment="1">
      <alignment vertical="top"/>
    </xf>
    <xf numFmtId="0" fontId="40" fillId="0" borderId="0" xfId="0" applyFont="1" applyAlignment="1">
      <alignment horizontal="center"/>
    </xf>
    <xf numFmtId="4" fontId="40" fillId="0" borderId="0" xfId="0" applyNumberFormat="1" applyFont="1" applyAlignment="1">
      <alignment horizontal="center"/>
    </xf>
    <xf numFmtId="0" fontId="36" fillId="0" borderId="1" xfId="0" applyFont="1" applyBorder="1" applyAlignment="1">
      <alignment vertical="top" wrapText="1"/>
    </xf>
    <xf numFmtId="0" fontId="5" fillId="0" borderId="0" xfId="0" applyFont="1" applyAlignment="1">
      <alignment vertical="top"/>
    </xf>
    <xf numFmtId="0" fontId="5" fillId="0" borderId="0" xfId="0" applyFont="1" applyAlignment="1">
      <alignment horizontal="right" vertical="top"/>
    </xf>
    <xf numFmtId="0" fontId="36" fillId="0" borderId="0" xfId="0" applyFont="1" applyAlignment="1">
      <alignment vertical="top" wrapText="1"/>
    </xf>
    <xf numFmtId="4" fontId="35" fillId="0" borderId="0" xfId="0" applyNumberFormat="1" applyFont="1" applyAlignment="1">
      <alignment vertical="top" wrapText="1" shrinkToFit="1"/>
    </xf>
    <xf numFmtId="0" fontId="36" fillId="0" borderId="1" xfId="0" applyFont="1" applyBorder="1" applyAlignment="1">
      <alignment horizontal="center"/>
    </xf>
    <xf numFmtId="0" fontId="36" fillId="2" borderId="0" xfId="0" applyFont="1" applyFill="1" applyAlignment="1">
      <alignment vertical="top" wrapText="1"/>
    </xf>
    <xf numFmtId="0" fontId="5" fillId="0" borderId="0" xfId="0" applyFont="1" applyAlignment="1">
      <alignment horizontal="left" vertical="top" wrapText="1"/>
    </xf>
    <xf numFmtId="0" fontId="39" fillId="0" borderId="1" xfId="0" applyFont="1" applyBorder="1"/>
    <xf numFmtId="4" fontId="39" fillId="0" borderId="1" xfId="0" applyNumberFormat="1" applyFont="1" applyBorder="1" applyAlignment="1">
      <alignment horizontal="center"/>
    </xf>
    <xf numFmtId="0" fontId="0" fillId="0" borderId="0" xfId="0" applyAlignment="1">
      <alignment vertical="top" wrapText="1"/>
    </xf>
    <xf numFmtId="43" fontId="28" fillId="0" borderId="0" xfId="63" applyFont="1"/>
    <xf numFmtId="43" fontId="0" fillId="0" borderId="0" xfId="63" applyFont="1"/>
    <xf numFmtId="0" fontId="0" fillId="0" borderId="0" xfId="0" applyAlignment="1">
      <alignment vertical="center"/>
    </xf>
    <xf numFmtId="0" fontId="46" fillId="0" borderId="0" xfId="1" applyFont="1" applyAlignment="1">
      <alignment wrapText="1"/>
    </xf>
    <xf numFmtId="4" fontId="49" fillId="0" borderId="0" xfId="0" applyNumberFormat="1" applyFont="1" applyAlignment="1">
      <alignment horizontal="center"/>
    </xf>
    <xf numFmtId="49" fontId="35" fillId="0" borderId="0" xfId="0" applyNumberFormat="1" applyFont="1" applyAlignment="1">
      <alignment horizontal="center" vertical="top"/>
    </xf>
    <xf numFmtId="0" fontId="50" fillId="0" borderId="0" xfId="0" applyFont="1" applyAlignment="1">
      <alignment vertical="top" wrapText="1"/>
    </xf>
    <xf numFmtId="9" fontId="39" fillId="0" borderId="0" xfId="0" applyNumberFormat="1" applyFont="1" applyAlignment="1">
      <alignment horizontal="center" wrapText="1"/>
    </xf>
    <xf numFmtId="0" fontId="49" fillId="0" borderId="0" xfId="0" applyFont="1" applyAlignment="1">
      <alignment vertical="top" wrapText="1"/>
    </xf>
    <xf numFmtId="0" fontId="5" fillId="21" borderId="40" xfId="0" applyFont="1" applyFill="1" applyBorder="1" applyAlignment="1">
      <alignment horizontal="right" vertical="top"/>
    </xf>
    <xf numFmtId="0" fontId="36" fillId="21" borderId="1" xfId="0" applyFont="1" applyFill="1" applyBorder="1"/>
    <xf numFmtId="0" fontId="5" fillId="21" borderId="1" xfId="0" applyFont="1" applyFill="1" applyBorder="1" applyAlignment="1">
      <alignment horizontal="center"/>
    </xf>
    <xf numFmtId="4" fontId="5" fillId="21" borderId="1" xfId="0" applyNumberFormat="1" applyFont="1" applyFill="1" applyBorder="1" applyAlignment="1">
      <alignment horizontal="center"/>
    </xf>
    <xf numFmtId="4" fontId="5" fillId="21" borderId="39" xfId="0" applyNumberFormat="1" applyFont="1" applyFill="1" applyBorder="1" applyAlignment="1">
      <alignment horizontal="center"/>
    </xf>
    <xf numFmtId="0" fontId="5" fillId="21" borderId="67" xfId="0" applyFont="1" applyFill="1" applyBorder="1" applyAlignment="1">
      <alignment horizontal="right" vertical="top"/>
    </xf>
    <xf numFmtId="0" fontId="5" fillId="21" borderId="0" xfId="0" applyFont="1" applyFill="1"/>
    <xf numFmtId="0" fontId="5" fillId="21" borderId="0" xfId="0" applyFont="1" applyFill="1" applyAlignment="1">
      <alignment horizontal="center"/>
    </xf>
    <xf numFmtId="4" fontId="5" fillId="21" borderId="0" xfId="0" applyNumberFormat="1" applyFont="1" applyFill="1" applyAlignment="1">
      <alignment horizontal="center"/>
    </xf>
    <xf numFmtId="4" fontId="5" fillId="21" borderId="60" xfId="0" applyNumberFormat="1" applyFont="1" applyFill="1" applyBorder="1" applyAlignment="1">
      <alignment horizontal="center"/>
    </xf>
    <xf numFmtId="0" fontId="38" fillId="21" borderId="67" xfId="0" applyFont="1" applyFill="1" applyBorder="1" applyAlignment="1">
      <alignment horizontal="right" vertical="top"/>
    </xf>
    <xf numFmtId="0" fontId="38" fillId="21" borderId="0" xfId="0" applyFont="1" applyFill="1"/>
    <xf numFmtId="0" fontId="38" fillId="21" borderId="0" xfId="0" applyFont="1" applyFill="1" applyAlignment="1">
      <alignment horizontal="center"/>
    </xf>
    <xf numFmtId="4" fontId="38" fillId="21" borderId="0" xfId="0" applyNumberFormat="1" applyFont="1" applyFill="1" applyAlignment="1">
      <alignment horizontal="center"/>
    </xf>
    <xf numFmtId="4" fontId="38" fillId="21" borderId="60" xfId="0" applyNumberFormat="1" applyFont="1" applyFill="1" applyBorder="1" applyAlignment="1">
      <alignment horizontal="center"/>
    </xf>
    <xf numFmtId="0" fontId="38" fillId="21" borderId="68" xfId="0" applyFont="1" applyFill="1" applyBorder="1" applyAlignment="1">
      <alignment horizontal="right" vertical="top"/>
    </xf>
    <xf numFmtId="0" fontId="38" fillId="21" borderId="59" xfId="0" applyFont="1" applyFill="1" applyBorder="1"/>
    <xf numFmtId="0" fontId="38" fillId="21" borderId="59" xfId="0" applyFont="1" applyFill="1" applyBorder="1" applyAlignment="1">
      <alignment horizontal="center"/>
    </xf>
    <xf numFmtId="4" fontId="38" fillId="21" borderId="59" xfId="0" applyNumberFormat="1" applyFont="1" applyFill="1" applyBorder="1" applyAlignment="1">
      <alignment horizontal="center"/>
    </xf>
    <xf numFmtId="4" fontId="38" fillId="21" borderId="58" xfId="0" applyNumberFormat="1" applyFont="1" applyFill="1" applyBorder="1" applyAlignment="1">
      <alignment horizontal="center"/>
    </xf>
    <xf numFmtId="0" fontId="38" fillId="21" borderId="42" xfId="0" applyFont="1" applyFill="1" applyBorder="1" applyAlignment="1">
      <alignment horizontal="right" vertical="top"/>
    </xf>
    <xf numFmtId="0" fontId="38" fillId="21" borderId="62" xfId="0" applyFont="1" applyFill="1" applyBorder="1"/>
    <xf numFmtId="0" fontId="38" fillId="21" borderId="62" xfId="0" applyFont="1" applyFill="1" applyBorder="1" applyAlignment="1">
      <alignment horizontal="center"/>
    </xf>
    <xf numFmtId="4" fontId="38" fillId="21" borderId="62" xfId="0" applyNumberFormat="1" applyFont="1" applyFill="1" applyBorder="1" applyAlignment="1">
      <alignment horizontal="center"/>
    </xf>
    <xf numFmtId="4" fontId="38" fillId="21" borderId="41" xfId="0" applyNumberFormat="1" applyFont="1" applyFill="1" applyBorder="1" applyAlignment="1">
      <alignment horizontal="center"/>
    </xf>
    <xf numFmtId="4" fontId="51" fillId="21" borderId="60" xfId="0" applyNumberFormat="1" applyFont="1" applyFill="1"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15" fillId="0" borderId="9" xfId="0" applyFont="1" applyBorder="1" applyAlignment="1">
      <alignment horizontal="center" vertical="center" wrapText="1"/>
    </xf>
    <xf numFmtId="0" fontId="15" fillId="0" borderId="37" xfId="0" applyFont="1" applyBorder="1" applyAlignment="1">
      <alignment horizontal="center" vertical="center" wrapText="1"/>
    </xf>
    <xf numFmtId="4" fontId="15" fillId="0" borderId="9" xfId="0" applyNumberFormat="1" applyFont="1" applyBorder="1" applyAlignment="1">
      <alignment horizontal="center" vertical="center" wrapText="1"/>
    </xf>
    <xf numFmtId="4" fontId="15" fillId="0" borderId="37" xfId="0" applyNumberFormat="1" applyFont="1" applyBorder="1" applyAlignment="1">
      <alignment horizontal="center" vertical="center" wrapText="1"/>
    </xf>
    <xf numFmtId="4" fontId="16" fillId="0" borderId="7" xfId="0" applyNumberFormat="1" applyFont="1" applyBorder="1" applyAlignment="1">
      <alignment horizontal="center" vertical="center" wrapText="1"/>
    </xf>
    <xf numFmtId="4" fontId="16" fillId="0" borderId="36" xfId="0" applyNumberFormat="1" applyFont="1" applyBorder="1" applyAlignment="1">
      <alignment horizontal="center" vertical="center"/>
    </xf>
    <xf numFmtId="3" fontId="14" fillId="2" borderId="9" xfId="0" applyNumberFormat="1" applyFont="1" applyFill="1" applyBorder="1" applyAlignment="1">
      <alignment horizontal="center" vertical="center" wrapText="1"/>
    </xf>
    <xf numFmtId="3" fontId="14" fillId="2" borderId="49" xfId="0" applyNumberFormat="1" applyFont="1" applyFill="1" applyBorder="1" applyAlignment="1">
      <alignment horizontal="center" vertical="center" wrapText="1"/>
    </xf>
    <xf numFmtId="4" fontId="12" fillId="0" borderId="13" xfId="0" applyNumberFormat="1" applyFont="1" applyBorder="1" applyAlignment="1">
      <alignment horizontal="center" vertical="center"/>
    </xf>
    <xf numFmtId="3" fontId="12" fillId="0" borderId="2" xfId="0" applyNumberFormat="1" applyFont="1" applyBorder="1" applyAlignment="1">
      <alignment horizontal="center" vertical="center"/>
    </xf>
    <xf numFmtId="4" fontId="12" fillId="0" borderId="2" xfId="0" applyNumberFormat="1" applyFont="1" applyBorder="1" applyAlignment="1">
      <alignment horizontal="center" vertical="center"/>
    </xf>
    <xf numFmtId="4" fontId="12" fillId="0" borderId="14" xfId="0" applyNumberFormat="1" applyFont="1" applyBorder="1" applyAlignment="1">
      <alignment horizontal="center" vertical="center"/>
    </xf>
    <xf numFmtId="4" fontId="16" fillId="0" borderId="26" xfId="0" applyNumberFormat="1" applyFont="1" applyBorder="1" applyAlignment="1" applyProtection="1">
      <alignment horizontal="center" vertical="center"/>
      <protection locked="0"/>
    </xf>
    <xf numFmtId="4" fontId="11" fillId="0" borderId="10" xfId="0" applyNumberFormat="1" applyFont="1" applyBorder="1" applyAlignment="1">
      <alignment horizontal="center" vertical="center"/>
    </xf>
    <xf numFmtId="4" fontId="11" fillId="0" borderId="12" xfId="0" applyNumberFormat="1" applyFont="1" applyBorder="1" applyAlignment="1">
      <alignment horizontal="center" vertical="center"/>
    </xf>
    <xf numFmtId="4" fontId="11" fillId="0" borderId="18" xfId="0" applyNumberFormat="1" applyFont="1" applyBorder="1" applyAlignment="1">
      <alignment horizontal="center" vertical="center"/>
    </xf>
    <xf numFmtId="4" fontId="11" fillId="0" borderId="19" xfId="0" applyNumberFormat="1" applyFont="1" applyBorder="1" applyAlignment="1">
      <alignment horizontal="center" vertical="center"/>
    </xf>
    <xf numFmtId="4" fontId="11" fillId="0" borderId="11" xfId="0" applyNumberFormat="1" applyFont="1" applyBorder="1" applyAlignment="1">
      <alignment horizontal="center" vertical="center"/>
    </xf>
    <xf numFmtId="4" fontId="11" fillId="0" borderId="4" xfId="0" applyNumberFormat="1" applyFont="1" applyBorder="1" applyAlignment="1">
      <alignment horizontal="center" vertical="center"/>
    </xf>
    <xf numFmtId="4" fontId="15" fillId="0" borderId="39" xfId="0" applyNumberFormat="1" applyFont="1" applyBorder="1" applyAlignment="1">
      <alignment horizontal="center" vertical="center"/>
    </xf>
    <xf numFmtId="4" fontId="15" fillId="0" borderId="41" xfId="0" applyNumberFormat="1" applyFont="1" applyBorder="1" applyAlignment="1">
      <alignment horizontal="center" vertical="center"/>
    </xf>
    <xf numFmtId="4" fontId="15" fillId="0" borderId="40" xfId="0" applyNumberFormat="1" applyFont="1" applyBorder="1" applyAlignment="1">
      <alignment horizontal="center" vertical="center" wrapText="1"/>
    </xf>
    <xf numFmtId="4" fontId="15" fillId="0" borderId="39" xfId="0" applyNumberFormat="1" applyFont="1" applyBorder="1" applyAlignment="1">
      <alignment horizontal="center" vertical="center" wrapText="1"/>
    </xf>
    <xf numFmtId="4" fontId="15" fillId="0" borderId="42" xfId="0" applyNumberFormat="1" applyFont="1" applyBorder="1" applyAlignment="1">
      <alignment horizontal="center" vertical="center" wrapText="1"/>
    </xf>
    <xf numFmtId="4" fontId="15" fillId="0" borderId="41" xfId="0" applyNumberFormat="1" applyFont="1" applyBorder="1" applyAlignment="1">
      <alignment horizontal="center" vertical="center" wrapText="1"/>
    </xf>
    <xf numFmtId="4" fontId="16" fillId="0" borderId="2" xfId="0" applyNumberFormat="1" applyFont="1" applyBorder="1" applyAlignment="1">
      <alignment horizontal="center" vertical="center"/>
    </xf>
    <xf numFmtId="4" fontId="16" fillId="0" borderId="14" xfId="0" applyNumberFormat="1" applyFont="1" applyBorder="1" applyAlignment="1">
      <alignment horizontal="center" vertical="center"/>
    </xf>
    <xf numFmtId="4" fontId="16" fillId="0" borderId="48" xfId="0" applyNumberFormat="1" applyFont="1" applyBorder="1" applyAlignment="1">
      <alignment horizontal="center" vertical="center"/>
    </xf>
    <xf numFmtId="4" fontId="16" fillId="0" borderId="26" xfId="0" applyNumberFormat="1" applyFont="1" applyBorder="1" applyAlignment="1">
      <alignment horizontal="center" vertical="center"/>
    </xf>
    <xf numFmtId="4" fontId="12" fillId="0" borderId="47" xfId="0" applyNumberFormat="1" applyFont="1" applyBorder="1" applyAlignment="1">
      <alignment horizontal="center" vertical="center"/>
    </xf>
    <xf numFmtId="4" fontId="12" fillId="0" borderId="50" xfId="0" applyNumberFormat="1" applyFont="1" applyBorder="1" applyAlignment="1">
      <alignment horizontal="center" vertical="center"/>
    </xf>
    <xf numFmtId="3" fontId="14" fillId="2" borderId="51" xfId="0" applyNumberFormat="1" applyFont="1" applyFill="1" applyBorder="1" applyAlignment="1">
      <alignment horizontal="center" vertical="center" wrapText="1"/>
    </xf>
    <xf numFmtId="164" fontId="12" fillId="0" borderId="2" xfId="0" applyNumberFormat="1" applyFont="1" applyBorder="1" applyAlignment="1">
      <alignment horizontal="center" vertical="center"/>
    </xf>
    <xf numFmtId="4" fontId="12" fillId="0" borderId="6" xfId="0" applyNumberFormat="1" applyFont="1" applyBorder="1" applyAlignment="1">
      <alignment horizontal="center" vertical="center"/>
    </xf>
    <xf numFmtId="4" fontId="16" fillId="0" borderId="9" xfId="0" applyNumberFormat="1" applyFont="1" applyBorder="1" applyAlignment="1" applyProtection="1">
      <alignment horizontal="center" vertical="center"/>
      <protection locked="0"/>
    </xf>
    <xf numFmtId="4" fontId="16" fillId="0" borderId="49" xfId="0" applyNumberFormat="1" applyFont="1" applyBorder="1" applyAlignment="1" applyProtection="1">
      <alignment horizontal="center" vertical="center"/>
      <protection locked="0"/>
    </xf>
    <xf numFmtId="4" fontId="16" fillId="0" borderId="9" xfId="0" applyNumberFormat="1" applyFont="1" applyBorder="1" applyAlignment="1">
      <alignment horizontal="center" vertical="center"/>
    </xf>
    <xf numFmtId="4" fontId="16" fillId="0" borderId="49" xfId="0" applyNumberFormat="1" applyFont="1" applyBorder="1" applyAlignment="1">
      <alignment horizontal="center" vertical="center"/>
    </xf>
    <xf numFmtId="2" fontId="16" fillId="0" borderId="45" xfId="0" applyNumberFormat="1" applyFont="1" applyBorder="1" applyAlignment="1">
      <alignment horizontal="center" vertical="center"/>
    </xf>
    <xf numFmtId="4" fontId="12" fillId="0" borderId="26" xfId="0" applyNumberFormat="1" applyFont="1" applyBorder="1" applyAlignment="1">
      <alignment horizontal="center" vertical="center"/>
    </xf>
    <xf numFmtId="4" fontId="12" fillId="0" borderId="46" xfId="0" applyNumberFormat="1" applyFont="1" applyBorder="1" applyAlignment="1">
      <alignment horizontal="center" vertical="center"/>
    </xf>
    <xf numFmtId="4" fontId="12" fillId="0" borderId="5" xfId="0" applyNumberFormat="1" applyFont="1" applyBorder="1" applyAlignment="1">
      <alignment horizontal="center" vertical="center"/>
    </xf>
    <xf numFmtId="3" fontId="14" fillId="2" borderId="52" xfId="0" applyNumberFormat="1" applyFont="1" applyFill="1" applyBorder="1" applyAlignment="1">
      <alignment horizontal="center" vertical="center"/>
    </xf>
    <xf numFmtId="3" fontId="14" fillId="2" borderId="49" xfId="0" applyNumberFormat="1" applyFont="1" applyFill="1" applyBorder="1" applyAlignment="1">
      <alignment horizontal="center" vertical="center"/>
    </xf>
    <xf numFmtId="4" fontId="16" fillId="0" borderId="52" xfId="0" applyNumberFormat="1" applyFont="1" applyBorder="1" applyAlignment="1" applyProtection="1">
      <alignment horizontal="center" vertical="center"/>
      <protection locked="0"/>
    </xf>
    <xf numFmtId="4" fontId="16" fillId="0" borderId="51" xfId="0" applyNumberFormat="1" applyFont="1" applyBorder="1" applyAlignment="1">
      <alignment horizontal="center" vertical="center"/>
    </xf>
    <xf numFmtId="3" fontId="12" fillId="0" borderId="4" xfId="0" applyNumberFormat="1" applyFont="1" applyBorder="1" applyAlignment="1">
      <alignment horizontal="center" vertical="center"/>
    </xf>
    <xf numFmtId="3" fontId="12" fillId="0" borderId="34" xfId="0" applyNumberFormat="1" applyFont="1" applyBorder="1" applyAlignment="1">
      <alignment horizontal="center" vertical="center"/>
    </xf>
    <xf numFmtId="4" fontId="12" fillId="0" borderId="4" xfId="0" applyNumberFormat="1" applyFont="1" applyBorder="1" applyAlignment="1">
      <alignment horizontal="center" vertical="center"/>
    </xf>
    <xf numFmtId="4" fontId="12" fillId="0" borderId="34" xfId="0" applyNumberFormat="1" applyFont="1" applyBorder="1" applyAlignment="1">
      <alignment horizontal="center" vertical="center"/>
    </xf>
    <xf numFmtId="4" fontId="16" fillId="0" borderId="8" xfId="0" applyNumberFormat="1" applyFont="1" applyBorder="1" applyAlignment="1">
      <alignment horizontal="center" vertical="center"/>
    </xf>
    <xf numFmtId="4" fontId="16" fillId="0" borderId="54" xfId="0" applyNumberFormat="1" applyFont="1" applyBorder="1" applyAlignment="1">
      <alignment horizontal="center" vertical="center"/>
    </xf>
    <xf numFmtId="4" fontId="16" fillId="0" borderId="57" xfId="0" applyNumberFormat="1" applyFont="1" applyBorder="1" applyAlignment="1">
      <alignment horizontal="center" vertical="center"/>
    </xf>
    <xf numFmtId="4" fontId="16" fillId="0" borderId="58" xfId="0" applyNumberFormat="1" applyFont="1" applyBorder="1" applyAlignment="1">
      <alignment horizontal="center" vertical="center"/>
    </xf>
    <xf numFmtId="4" fontId="16" fillId="0" borderId="55" xfId="0" applyNumberFormat="1" applyFont="1" applyBorder="1" applyAlignment="1">
      <alignment horizontal="center" vertical="center"/>
    </xf>
    <xf numFmtId="4" fontId="16" fillId="0" borderId="59" xfId="0" applyNumberFormat="1" applyFont="1" applyBorder="1" applyAlignment="1">
      <alignment horizontal="center" vertical="center"/>
    </xf>
    <xf numFmtId="4" fontId="12" fillId="0" borderId="53" xfId="0" applyNumberFormat="1" applyFont="1" applyBorder="1" applyAlignment="1">
      <alignment horizontal="center" vertical="center"/>
    </xf>
    <xf numFmtId="164" fontId="12" fillId="0" borderId="4" xfId="0" applyNumberFormat="1" applyFont="1" applyBorder="1" applyAlignment="1">
      <alignment horizontal="center" vertical="center"/>
    </xf>
    <xf numFmtId="164" fontId="12" fillId="0" borderId="34" xfId="0" applyNumberFormat="1" applyFont="1" applyBorder="1" applyAlignment="1">
      <alignment horizontal="center" vertical="center"/>
    </xf>
    <xf numFmtId="4" fontId="12" fillId="0" borderId="8" xfId="0" applyNumberFormat="1" applyFont="1" applyBorder="1" applyAlignment="1">
      <alignment horizontal="center" vertical="center"/>
    </xf>
    <xf numFmtId="4" fontId="12" fillId="0" borderId="57" xfId="0" applyNumberFormat="1" applyFont="1" applyBorder="1" applyAlignment="1">
      <alignment horizontal="center" vertical="center"/>
    </xf>
    <xf numFmtId="2" fontId="16" fillId="0" borderId="52" xfId="0" applyNumberFormat="1" applyFont="1" applyBorder="1" applyAlignment="1">
      <alignment horizontal="center" vertical="center"/>
    </xf>
    <xf numFmtId="2" fontId="16" fillId="0" borderId="49" xfId="0" applyNumberFormat="1" applyFont="1" applyBorder="1" applyAlignment="1">
      <alignment horizontal="center" vertical="center"/>
    </xf>
    <xf numFmtId="4" fontId="16" fillId="0" borderId="52" xfId="0" applyNumberFormat="1" applyFont="1" applyBorder="1" applyAlignment="1">
      <alignment horizontal="center" vertical="center"/>
    </xf>
    <xf numFmtId="4" fontId="12" fillId="0" borderId="19" xfId="0" applyNumberFormat="1" applyFont="1" applyBorder="1" applyAlignment="1">
      <alignment horizontal="center" vertical="center"/>
    </xf>
    <xf numFmtId="4" fontId="12" fillId="0" borderId="56" xfId="0" applyNumberFormat="1" applyFont="1" applyBorder="1" applyAlignment="1">
      <alignment horizontal="center" vertical="center"/>
    </xf>
    <xf numFmtId="4" fontId="16" fillId="0" borderId="45" xfId="0" applyNumberFormat="1" applyFont="1" applyBorder="1" applyAlignment="1">
      <alignment horizontal="center" vertical="center"/>
    </xf>
    <xf numFmtId="3" fontId="14" fillId="2" borderId="51" xfId="0" applyNumberFormat="1" applyFont="1" applyFill="1" applyBorder="1" applyAlignment="1">
      <alignment horizontal="center" vertical="center"/>
    </xf>
    <xf numFmtId="4" fontId="12" fillId="0" borderId="18" xfId="0" applyNumberFormat="1" applyFont="1" applyBorder="1" applyAlignment="1">
      <alignment horizontal="center" vertical="center"/>
    </xf>
    <xf numFmtId="4" fontId="12" fillId="0" borderId="26" xfId="0" applyNumberFormat="1" applyFont="1" applyBorder="1" applyAlignment="1" applyProtection="1">
      <alignment horizontal="center" vertical="center"/>
      <protection locked="0"/>
    </xf>
    <xf numFmtId="4" fontId="12" fillId="0" borderId="52" xfId="0" applyNumberFormat="1" applyFont="1" applyBorder="1" applyAlignment="1" applyProtection="1">
      <alignment horizontal="center" vertical="center"/>
      <protection locked="0"/>
    </xf>
    <xf numFmtId="4" fontId="12" fillId="0" borderId="37" xfId="0" applyNumberFormat="1" applyFont="1" applyBorder="1" applyAlignment="1" applyProtection="1">
      <alignment horizontal="center" vertical="center"/>
      <protection locked="0"/>
    </xf>
    <xf numFmtId="4" fontId="17" fillId="0" borderId="26" xfId="0" applyNumberFormat="1" applyFont="1" applyBorder="1" applyAlignment="1">
      <alignment horizontal="center" vertical="center"/>
    </xf>
    <xf numFmtId="4" fontId="17" fillId="0" borderId="52" xfId="0" applyNumberFormat="1" applyFont="1" applyBorder="1" applyAlignment="1">
      <alignment horizontal="center" vertical="center"/>
    </xf>
    <xf numFmtId="2" fontId="12" fillId="0" borderId="45" xfId="0" applyNumberFormat="1" applyFont="1" applyBorder="1" applyAlignment="1">
      <alignment horizontal="center" vertical="center"/>
    </xf>
    <xf numFmtId="2" fontId="12" fillId="0" borderId="54" xfId="0" applyNumberFormat="1" applyFont="1" applyBorder="1" applyAlignment="1">
      <alignment horizontal="center" vertical="center"/>
    </xf>
    <xf numFmtId="4" fontId="12" fillId="0" borderId="52" xfId="0" applyNumberFormat="1" applyFont="1" applyBorder="1" applyAlignment="1">
      <alignment horizontal="center" vertical="center"/>
    </xf>
    <xf numFmtId="4" fontId="16" fillId="0" borderId="60" xfId="0" applyNumberFormat="1" applyFont="1" applyBorder="1" applyAlignment="1">
      <alignment horizontal="center" vertical="center"/>
    </xf>
    <xf numFmtId="4" fontId="12" fillId="0" borderId="61" xfId="0" applyNumberFormat="1" applyFont="1" applyBorder="1" applyAlignment="1">
      <alignment horizontal="center" vertical="center"/>
    </xf>
    <xf numFmtId="4" fontId="12" fillId="0" borderId="48" xfId="0" applyNumberFormat="1" applyFont="1" applyBorder="1" applyAlignment="1">
      <alignment horizontal="center" vertical="center"/>
    </xf>
    <xf numFmtId="4" fontId="12" fillId="0" borderId="55" xfId="0" applyNumberFormat="1" applyFont="1" applyBorder="1" applyAlignment="1">
      <alignment horizontal="center" vertical="center"/>
    </xf>
    <xf numFmtId="4" fontId="14" fillId="2" borderId="39" xfId="0" applyNumberFormat="1" applyFont="1" applyFill="1" applyBorder="1" applyAlignment="1">
      <alignment horizontal="center" vertical="center"/>
    </xf>
    <xf numFmtId="4" fontId="14" fillId="2" borderId="41" xfId="0" applyNumberFormat="1" applyFont="1" applyFill="1" applyBorder="1" applyAlignment="1">
      <alignment horizontal="center" vertical="center"/>
    </xf>
    <xf numFmtId="4" fontId="14" fillId="2" borderId="9" xfId="0" applyNumberFormat="1" applyFont="1" applyFill="1" applyBorder="1" applyAlignment="1">
      <alignment horizontal="center" vertical="center"/>
    </xf>
    <xf numFmtId="4" fontId="14" fillId="2" borderId="37" xfId="0" applyNumberFormat="1" applyFont="1" applyFill="1" applyBorder="1" applyAlignment="1">
      <alignment horizontal="center" vertical="center"/>
    </xf>
    <xf numFmtId="4" fontId="14" fillId="2" borderId="40" xfId="0" applyNumberFormat="1" applyFont="1" applyFill="1" applyBorder="1" applyAlignment="1">
      <alignment horizontal="center" vertical="center"/>
    </xf>
    <xf numFmtId="0" fontId="0" fillId="0" borderId="39" xfId="0" applyBorder="1"/>
    <xf numFmtId="0" fontId="0" fillId="0" borderId="42" xfId="0" applyBorder="1"/>
    <xf numFmtId="0" fontId="0" fillId="0" borderId="41" xfId="0" applyBorder="1"/>
    <xf numFmtId="2" fontId="14" fillId="2" borderId="39" xfId="0" applyNumberFormat="1" applyFont="1" applyFill="1" applyBorder="1" applyAlignment="1">
      <alignment horizontal="center" vertical="center"/>
    </xf>
    <xf numFmtId="0" fontId="0" fillId="0" borderId="37" xfId="0" applyBorder="1"/>
    <xf numFmtId="4" fontId="13" fillId="2" borderId="40" xfId="0" applyNumberFormat="1" applyFont="1" applyFill="1" applyBorder="1" applyAlignment="1">
      <alignment horizontal="center" vertical="center"/>
    </xf>
    <xf numFmtId="4" fontId="13" fillId="2" borderId="42" xfId="0" applyNumberFormat="1" applyFont="1" applyFill="1" applyBorder="1" applyAlignment="1">
      <alignment horizontal="center" vertical="center"/>
    </xf>
    <xf numFmtId="4" fontId="13" fillId="2" borderId="9" xfId="0" applyNumberFormat="1" applyFont="1" applyFill="1" applyBorder="1" applyAlignment="1">
      <alignment horizontal="center" vertical="center"/>
    </xf>
    <xf numFmtId="4" fontId="13" fillId="2" borderId="37" xfId="0" applyNumberFormat="1" applyFont="1" applyFill="1" applyBorder="1" applyAlignment="1">
      <alignment horizontal="center" vertical="center"/>
    </xf>
    <xf numFmtId="4" fontId="13" fillId="2" borderId="39" xfId="0" applyNumberFormat="1" applyFont="1" applyFill="1" applyBorder="1" applyAlignment="1">
      <alignment horizontal="center" vertical="center"/>
    </xf>
    <xf numFmtId="4" fontId="13" fillId="2" borderId="41" xfId="0" applyNumberFormat="1" applyFont="1" applyFill="1" applyBorder="1" applyAlignment="1">
      <alignment horizontal="center" vertical="center"/>
    </xf>
    <xf numFmtId="2" fontId="13" fillId="2" borderId="9" xfId="0" applyNumberFormat="1" applyFont="1" applyFill="1" applyBorder="1" applyAlignment="1">
      <alignment horizontal="center" vertical="center"/>
    </xf>
    <xf numFmtId="0" fontId="0" fillId="2" borderId="40" xfId="0" applyFill="1" applyBorder="1" applyAlignment="1">
      <alignment horizontal="center"/>
    </xf>
    <xf numFmtId="0" fontId="0" fillId="0" borderId="1" xfId="0" applyBorder="1"/>
    <xf numFmtId="0" fontId="0" fillId="0" borderId="62" xfId="0" applyBorder="1"/>
  </cellXfs>
  <cellStyles count="68">
    <cellStyle name="20 % – Poudarek1 2" xfId="2"/>
    <cellStyle name="20 % – Poudarek2 2" xfId="3"/>
    <cellStyle name="20 % – Poudarek3 2" xfId="4"/>
    <cellStyle name="20 % – Poudarek4 2" xfId="5"/>
    <cellStyle name="20 % – Poudarek5 2" xfId="6"/>
    <cellStyle name="20 % – Poudarek6 2" xfId="7"/>
    <cellStyle name="20% - Accent1" xfId="8"/>
    <cellStyle name="20% - Accent2" xfId="9"/>
    <cellStyle name="20% - Accent3" xfId="10"/>
    <cellStyle name="20% - Accent4" xfId="11"/>
    <cellStyle name="20% - Accent5" xfId="12"/>
    <cellStyle name="20% - Accent6" xfId="13"/>
    <cellStyle name="40 % – Poudarek1 2" xfId="14"/>
    <cellStyle name="40 % – Poudarek2 2" xfId="15"/>
    <cellStyle name="40 % – Poudarek3 2" xfId="16"/>
    <cellStyle name="40 % – Poudarek4 2" xfId="17"/>
    <cellStyle name="40 % – Poudarek5 2" xfId="18"/>
    <cellStyle name="40 % – Poudarek6 2" xfId="19"/>
    <cellStyle name="40% - Accent1" xfId="20"/>
    <cellStyle name="40% - Accent2" xfId="21"/>
    <cellStyle name="40% - Accent3" xfId="22"/>
    <cellStyle name="40% - Accent4" xfId="23"/>
    <cellStyle name="40% - Accent5" xfId="24"/>
    <cellStyle name="40% - Accent6" xfId="25"/>
    <cellStyle name="60 % – Poudarek1 2" xfId="26"/>
    <cellStyle name="60 % – Poudarek2 2" xfId="27"/>
    <cellStyle name="60 % – Poudarek3 2" xfId="28"/>
    <cellStyle name="60 % – Poudarek4 2" xfId="29"/>
    <cellStyle name="60 % – Poudarek5 2" xfId="30"/>
    <cellStyle name="60 % – Poudarek6 2" xfId="31"/>
    <cellStyle name="60% - Accent1" xfId="32"/>
    <cellStyle name="60% - Accent2" xfId="33"/>
    <cellStyle name="60% - Accent3" xfId="34"/>
    <cellStyle name="60% - Accent4" xfId="35"/>
    <cellStyle name="60% - Accent5" xfId="36"/>
    <cellStyle name="60% - Accent6" xfId="37"/>
    <cellStyle name="Comma 2" xfId="38"/>
    <cellStyle name="Dobro 2" xfId="39"/>
    <cellStyle name="Excel Built-in Explanatory Text" xfId="67"/>
    <cellStyle name="Excel Built-in Normal" xfId="65"/>
    <cellStyle name="Good" xfId="40"/>
    <cellStyle name="Izhod 2" xfId="41"/>
    <cellStyle name="Izhod 2 2" xfId="61"/>
    <cellStyle name="Izhod 2 3" xfId="60"/>
    <cellStyle name="Naslov 5" xfId="42"/>
    <cellStyle name="Navadno" xfId="0" builtinId="0"/>
    <cellStyle name="Navadno 2" xfId="1"/>
    <cellStyle name="Navadno 3" xfId="43"/>
    <cellStyle name="Navadno 4" xfId="44"/>
    <cellStyle name="Navadno 5" xfId="45"/>
    <cellStyle name="Navadno 6" xfId="64"/>
    <cellStyle name="Normal 2" xfId="46"/>
    <cellStyle name="Normal 2 2" xfId="47"/>
    <cellStyle name="Normal 2 3" xfId="48"/>
    <cellStyle name="Normal 2 4" xfId="49"/>
    <cellStyle name="Normal 3" xfId="50"/>
    <cellStyle name="Normal 3 2" xfId="51"/>
    <cellStyle name="Normal_I-BREZOV" xfId="58"/>
    <cellStyle name="Odstotek 2" xfId="66"/>
    <cellStyle name="Opozorilo 2" xfId="52"/>
    <cellStyle name="Output" xfId="53"/>
    <cellStyle name="Output 2" xfId="62"/>
    <cellStyle name="Output 3" xfId="59"/>
    <cellStyle name="Slog 1" xfId="54"/>
    <cellStyle name="Title" xfId="55"/>
    <cellStyle name="Vejica" xfId="63" builtinId="3"/>
    <cellStyle name="Vejica 2" xfId="56"/>
    <cellStyle name="Warning Text" xfId="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1962979</xdr:colOff>
      <xdr:row>0</xdr:row>
      <xdr:rowOff>66262</xdr:rowOff>
    </xdr:from>
    <xdr:to>
      <xdr:col>5</xdr:col>
      <xdr:colOff>853109</xdr:colOff>
      <xdr:row>5</xdr:row>
      <xdr:rowOff>132523</xdr:rowOff>
    </xdr:to>
    <xdr:pic>
      <xdr:nvPicPr>
        <xdr:cNvPr id="3" name="Slika 2">
          <a:extLst>
            <a:ext uri="{FF2B5EF4-FFF2-40B4-BE49-F238E27FC236}">
              <a16:creationId xmlns:a16="http://schemas.microsoft.com/office/drawing/2014/main" xmlns="" id="{42479E60-2744-44F3-AEC6-A1CE30CA302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xmlns="" val="0"/>
            </a:ext>
          </a:extLst>
        </a:blip>
        <a:srcRect r="35310" b="32"/>
        <a:stretch/>
      </xdr:blipFill>
      <xdr:spPr>
        <a:xfrm>
          <a:off x="2493066" y="66262"/>
          <a:ext cx="4066760" cy="10187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666750</xdr:colOff>
      <xdr:row>32</xdr:row>
      <xdr:rowOff>47625</xdr:rowOff>
    </xdr:from>
    <xdr:to>
      <xdr:col>7</xdr:col>
      <xdr:colOff>123825</xdr:colOff>
      <xdr:row>49</xdr:row>
      <xdr:rowOff>171450</xdr:rowOff>
    </xdr:to>
    <xdr:pic>
      <xdr:nvPicPr>
        <xdr:cNvPr id="2" name="Picture 2">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l="22710" t="7486" r="47459" b="52901"/>
        <a:stretch>
          <a:fillRect/>
        </a:stretch>
      </xdr:blipFill>
      <xdr:spPr bwMode="auto">
        <a:xfrm>
          <a:off x="666750" y="5695950"/>
          <a:ext cx="3781425" cy="3362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opis%20elektroinstalacij.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opis%20strojne%20instalacij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_REKAPITULACIJA_"/>
      <sheetName val="1"/>
      <sheetName val="2"/>
      <sheetName val="3"/>
      <sheetName val="4"/>
      <sheetName val="5"/>
      <sheetName val="6"/>
    </sheetNames>
    <sheetDataSet>
      <sheetData sheetId="0">
        <row r="20">
          <cell r="E20">
            <v>0</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ROJNE"/>
    </sheetNames>
    <sheetDataSet>
      <sheetData sheetId="0">
        <row r="202">
          <cell r="F202">
            <v>0</v>
          </cell>
        </row>
      </sheetData>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8:L545"/>
  <sheetViews>
    <sheetView showZeros="0" tabSelected="1" topLeftCell="A298" zoomScale="115" zoomScaleNormal="115" zoomScaleSheetLayoutView="70" workbookViewId="0">
      <selection activeCell="J306" sqref="J306"/>
    </sheetView>
  </sheetViews>
  <sheetFormatPr defaultColWidth="9.140625" defaultRowHeight="15"/>
  <cols>
    <col min="1" max="1" width="8" style="192" customWidth="1"/>
    <col min="2" max="2" width="50.7109375" style="149" customWidth="1"/>
    <col min="3" max="3" width="5.5703125" style="147" bestFit="1" customWidth="1"/>
    <col min="4" max="5" width="10.7109375" style="146" customWidth="1"/>
    <col min="6" max="6" width="13.7109375" style="146" customWidth="1"/>
    <col min="7" max="7" width="9.140625" style="149"/>
    <col min="8" max="8" width="11.28515625" style="149" customWidth="1"/>
    <col min="9" max="16384" width="9.140625" style="149"/>
  </cols>
  <sheetData>
    <row r="8" spans="1:6">
      <c r="B8" s="148" t="s">
        <v>316</v>
      </c>
    </row>
    <row r="9" spans="1:6">
      <c r="B9" s="148" t="s">
        <v>317</v>
      </c>
    </row>
    <row r="10" spans="1:6">
      <c r="B10" s="148" t="s">
        <v>240</v>
      </c>
    </row>
    <row r="12" spans="1:6" s="139" customFormat="1" ht="108.6" customHeight="1">
      <c r="A12" s="150"/>
      <c r="B12" s="151" t="s">
        <v>310</v>
      </c>
      <c r="C12" s="152"/>
      <c r="D12" s="153"/>
      <c r="E12" s="144"/>
      <c r="F12" s="145"/>
    </row>
    <row r="13" spans="1:6" s="139" customFormat="1" ht="13.5" thickBot="1">
      <c r="A13" s="150"/>
      <c r="B13" s="151"/>
      <c r="C13" s="152"/>
      <c r="D13" s="153"/>
      <c r="E13" s="144"/>
      <c r="F13" s="145"/>
    </row>
    <row r="14" spans="1:6">
      <c r="A14" s="210"/>
      <c r="B14" s="211" t="s">
        <v>0</v>
      </c>
      <c r="C14" s="212"/>
      <c r="D14" s="213"/>
      <c r="E14" s="213"/>
      <c r="F14" s="214"/>
    </row>
    <row r="15" spans="1:6">
      <c r="A15" s="215"/>
      <c r="B15" s="216"/>
      <c r="C15" s="217"/>
      <c r="D15" s="218"/>
      <c r="E15" s="218"/>
      <c r="F15" s="219"/>
    </row>
    <row r="16" spans="1:6" s="155" customFormat="1" ht="15.75">
      <c r="A16" s="220" t="s">
        <v>36</v>
      </c>
      <c r="B16" s="221" t="s">
        <v>239</v>
      </c>
      <c r="C16" s="222"/>
      <c r="D16" s="223"/>
      <c r="E16" s="223"/>
      <c r="F16" s="224">
        <f>+F38</f>
        <v>0</v>
      </c>
    </row>
    <row r="17" spans="1:6" s="155" customFormat="1" ht="15.75">
      <c r="A17" s="220"/>
      <c r="B17" s="221"/>
      <c r="C17" s="222"/>
      <c r="D17" s="223"/>
      <c r="E17" s="223"/>
      <c r="F17" s="224"/>
    </row>
    <row r="18" spans="1:6" s="155" customFormat="1" ht="15.75">
      <c r="A18" s="225" t="s">
        <v>242</v>
      </c>
      <c r="B18" s="226" t="s">
        <v>241</v>
      </c>
      <c r="C18" s="227"/>
      <c r="D18" s="228"/>
      <c r="E18" s="228"/>
      <c r="F18" s="229">
        <f>+F51</f>
        <v>0</v>
      </c>
    </row>
    <row r="19" spans="1:6" s="155" customFormat="1" ht="15.75">
      <c r="A19" s="220"/>
      <c r="B19" s="221"/>
      <c r="C19" s="222"/>
      <c r="D19" s="223"/>
      <c r="E19" s="223"/>
      <c r="F19" s="224"/>
    </row>
    <row r="20" spans="1:6" s="155" customFormat="1" ht="15.75">
      <c r="A20" s="220"/>
      <c r="B20" s="221" t="s">
        <v>243</v>
      </c>
      <c r="C20" s="222"/>
      <c r="D20" s="223"/>
      <c r="E20" s="223"/>
      <c r="F20" s="224">
        <f>SUM(F14:F19)</f>
        <v>0</v>
      </c>
    </row>
    <row r="21" spans="1:6" s="155" customFormat="1" ht="15.75">
      <c r="A21" s="220" t="s">
        <v>459</v>
      </c>
      <c r="B21" s="221" t="s">
        <v>460</v>
      </c>
      <c r="C21" s="222"/>
      <c r="D21" s="223"/>
      <c r="E21" s="223"/>
      <c r="F21" s="224">
        <f>[1]_REKAPITULACIJA_!$E$20</f>
        <v>0</v>
      </c>
    </row>
    <row r="22" spans="1:6" s="155" customFormat="1" ht="15.75">
      <c r="A22" s="225" t="s">
        <v>463</v>
      </c>
      <c r="B22" s="226" t="s">
        <v>461</v>
      </c>
      <c r="C22" s="227"/>
      <c r="D22" s="228"/>
      <c r="E22" s="228"/>
      <c r="F22" s="229">
        <f>[2]STROJNE!$F$202</f>
        <v>0</v>
      </c>
    </row>
    <row r="23" spans="1:6" s="155" customFormat="1" ht="15.75">
      <c r="A23" s="220"/>
      <c r="B23" s="221"/>
      <c r="C23" s="222"/>
      <c r="D23" s="223"/>
      <c r="E23" s="223"/>
      <c r="F23" s="224"/>
    </row>
    <row r="24" spans="1:6" s="155" customFormat="1" ht="15.75">
      <c r="A24" s="220"/>
      <c r="B24" s="221" t="s">
        <v>32</v>
      </c>
      <c r="C24" s="222"/>
      <c r="D24" s="223"/>
      <c r="E24" s="223"/>
      <c r="F24" s="235">
        <f>SUM(F19:F23)</f>
        <v>0</v>
      </c>
    </row>
    <row r="25" spans="1:6" s="155" customFormat="1" ht="16.5" thickBot="1">
      <c r="A25" s="230"/>
      <c r="B25" s="231" t="s">
        <v>462</v>
      </c>
      <c r="C25" s="232"/>
      <c r="D25" s="233"/>
      <c r="E25" s="233"/>
      <c r="F25" s="234">
        <f>PRODUCT(F24*1.22)</f>
        <v>0</v>
      </c>
    </row>
    <row r="26" spans="1:6" s="155" customFormat="1" ht="15.75">
      <c r="A26" s="154"/>
      <c r="C26" s="156"/>
      <c r="D26" s="157"/>
      <c r="E26" s="157"/>
      <c r="F26" s="157"/>
    </row>
    <row r="29" spans="1:6" s="155" customFormat="1" ht="15.75">
      <c r="A29" s="154" t="s">
        <v>36</v>
      </c>
      <c r="B29" s="155" t="s">
        <v>239</v>
      </c>
      <c r="C29" s="156"/>
      <c r="D29" s="157"/>
      <c r="E29" s="157"/>
      <c r="F29" s="157"/>
    </row>
    <row r="30" spans="1:6">
      <c r="A30" s="158" t="s">
        <v>2</v>
      </c>
      <c r="B30" s="159" t="s">
        <v>236</v>
      </c>
      <c r="C30" s="160"/>
      <c r="D30" s="161"/>
      <c r="E30" s="161"/>
      <c r="F30" s="161">
        <f>+F63</f>
        <v>0</v>
      </c>
    </row>
    <row r="31" spans="1:6">
      <c r="A31" s="158" t="s">
        <v>3</v>
      </c>
      <c r="B31" s="159" t="s">
        <v>237</v>
      </c>
      <c r="C31" s="160"/>
      <c r="D31" s="161"/>
      <c r="E31" s="161"/>
      <c r="F31" s="161">
        <f>+F136</f>
        <v>0</v>
      </c>
    </row>
    <row r="32" spans="1:6">
      <c r="A32" s="158" t="s">
        <v>4</v>
      </c>
      <c r="B32" s="159" t="s">
        <v>33</v>
      </c>
      <c r="C32" s="160"/>
      <c r="D32" s="161"/>
      <c r="E32" s="161"/>
      <c r="F32" s="161">
        <f>+F166</f>
        <v>0</v>
      </c>
    </row>
    <row r="33" spans="1:8">
      <c r="A33" s="158" t="s">
        <v>19</v>
      </c>
      <c r="B33" s="159" t="s">
        <v>34</v>
      </c>
      <c r="C33" s="160"/>
      <c r="D33" s="161"/>
      <c r="E33" s="161"/>
      <c r="F33" s="161">
        <f>+F182</f>
        <v>0</v>
      </c>
    </row>
    <row r="34" spans="1:8">
      <c r="A34" s="158" t="s">
        <v>20</v>
      </c>
      <c r="B34" s="159" t="s">
        <v>1</v>
      </c>
      <c r="C34" s="160"/>
      <c r="D34" s="161"/>
      <c r="E34" s="161"/>
      <c r="F34" s="161">
        <f>+F231</f>
        <v>0</v>
      </c>
    </row>
    <row r="35" spans="1:8" s="143" customFormat="1">
      <c r="A35" s="162" t="s">
        <v>21</v>
      </c>
      <c r="B35" s="163" t="s">
        <v>254</v>
      </c>
      <c r="C35" s="164"/>
      <c r="D35" s="165"/>
      <c r="E35" s="165"/>
      <c r="F35" s="165">
        <f>+F281</f>
        <v>0</v>
      </c>
    </row>
    <row r="36" spans="1:8" s="143" customFormat="1">
      <c r="A36" s="162" t="s">
        <v>30</v>
      </c>
      <c r="B36" s="163" t="s">
        <v>451</v>
      </c>
      <c r="C36" s="208">
        <v>0.05</v>
      </c>
      <c r="D36" s="165"/>
      <c r="E36" s="165"/>
      <c r="F36" s="165">
        <f>SUM(F30:F35)*C36</f>
        <v>0</v>
      </c>
    </row>
    <row r="37" spans="1:8" ht="15.75" thickBot="1">
      <c r="A37" s="166"/>
      <c r="B37" s="167"/>
    </row>
    <row r="38" spans="1:8">
      <c r="B38" s="168" t="s">
        <v>18</v>
      </c>
      <c r="C38" s="169"/>
      <c r="D38" s="170"/>
      <c r="E38" s="170"/>
      <c r="F38" s="171">
        <f>SUM(F30:F37)</f>
        <v>0</v>
      </c>
      <c r="H38" s="172"/>
    </row>
    <row r="39" spans="1:8">
      <c r="B39" s="167"/>
      <c r="C39" s="173"/>
      <c r="D39" s="174"/>
      <c r="E39" s="174"/>
      <c r="F39" s="174"/>
    </row>
    <row r="40" spans="1:8" s="155" customFormat="1" ht="15.75">
      <c r="A40" s="154" t="s">
        <v>242</v>
      </c>
      <c r="B40" s="155" t="s">
        <v>241</v>
      </c>
      <c r="C40" s="156"/>
      <c r="D40" s="157"/>
      <c r="E40" s="157"/>
      <c r="F40" s="157"/>
    </row>
    <row r="41" spans="1:8">
      <c r="A41" s="158" t="s">
        <v>2</v>
      </c>
      <c r="B41" s="159" t="s">
        <v>278</v>
      </c>
      <c r="C41" s="160"/>
      <c r="D41" s="161"/>
      <c r="E41" s="161"/>
      <c r="F41" s="161">
        <f>+F328</f>
        <v>0</v>
      </c>
    </row>
    <row r="42" spans="1:8">
      <c r="A42" s="158" t="s">
        <v>3</v>
      </c>
      <c r="B42" s="159" t="s">
        <v>39</v>
      </c>
      <c r="C42" s="160"/>
      <c r="D42" s="161"/>
      <c r="E42" s="161"/>
      <c r="F42" s="161">
        <f>+F343</f>
        <v>0</v>
      </c>
    </row>
    <row r="43" spans="1:8">
      <c r="A43" s="158" t="s">
        <v>4</v>
      </c>
      <c r="B43" s="159" t="s">
        <v>258</v>
      </c>
      <c r="C43" s="160"/>
      <c r="D43" s="161"/>
      <c r="E43" s="161"/>
      <c r="F43" s="161">
        <f>+F359</f>
        <v>0</v>
      </c>
    </row>
    <row r="44" spans="1:8">
      <c r="A44" s="158" t="s">
        <v>19</v>
      </c>
      <c r="B44" s="159" t="s">
        <v>23</v>
      </c>
      <c r="C44" s="160"/>
      <c r="D44" s="161"/>
      <c r="E44" s="161"/>
      <c r="F44" s="161">
        <f>+F373</f>
        <v>0</v>
      </c>
    </row>
    <row r="45" spans="1:8">
      <c r="A45" s="158" t="s">
        <v>20</v>
      </c>
      <c r="B45" s="159" t="s">
        <v>260</v>
      </c>
      <c r="C45" s="160"/>
      <c r="D45" s="161"/>
      <c r="E45" s="161"/>
      <c r="F45" s="161">
        <f>+F400</f>
        <v>0</v>
      </c>
    </row>
    <row r="46" spans="1:8" s="143" customFormat="1">
      <c r="A46" s="162" t="s">
        <v>21</v>
      </c>
      <c r="B46" s="163" t="s">
        <v>262</v>
      </c>
      <c r="C46" s="164"/>
      <c r="D46" s="165"/>
      <c r="E46" s="165"/>
      <c r="F46" s="165">
        <f>+F517</f>
        <v>0</v>
      </c>
    </row>
    <row r="47" spans="1:8">
      <c r="A47" s="158" t="s">
        <v>30</v>
      </c>
      <c r="B47" s="159" t="s">
        <v>373</v>
      </c>
      <c r="C47" s="160"/>
      <c r="D47" s="161"/>
      <c r="E47" s="161"/>
      <c r="F47" s="161">
        <f>+F537</f>
        <v>0</v>
      </c>
    </row>
    <row r="48" spans="1:8">
      <c r="A48" s="158" t="s">
        <v>31</v>
      </c>
      <c r="B48" s="159" t="s">
        <v>445</v>
      </c>
      <c r="C48" s="160"/>
      <c r="D48" s="161"/>
      <c r="E48" s="161"/>
      <c r="F48" s="161">
        <f>+F545</f>
        <v>0</v>
      </c>
    </row>
    <row r="49" spans="1:8">
      <c r="A49" s="158" t="s">
        <v>36</v>
      </c>
      <c r="B49" s="163" t="s">
        <v>451</v>
      </c>
      <c r="C49" s="208">
        <v>0.05</v>
      </c>
      <c r="D49" s="161"/>
      <c r="E49" s="161"/>
      <c r="F49" s="161">
        <f>SUM(F41:F48)*C49</f>
        <v>0</v>
      </c>
    </row>
    <row r="50" spans="1:8" ht="15.75" thickBot="1">
      <c r="A50" s="166"/>
      <c r="B50" s="167"/>
    </row>
    <row r="51" spans="1:8">
      <c r="B51" s="168" t="s">
        <v>18</v>
      </c>
      <c r="C51" s="169"/>
      <c r="D51" s="170"/>
      <c r="E51" s="170"/>
      <c r="F51" s="171">
        <f>SUM(F41:F50)</f>
        <v>0</v>
      </c>
      <c r="H51" s="172"/>
    </row>
    <row r="52" spans="1:8">
      <c r="B52" s="167"/>
      <c r="C52" s="173"/>
      <c r="D52" s="174"/>
      <c r="E52" s="174"/>
      <c r="F52" s="174"/>
    </row>
    <row r="53" spans="1:8" s="155" customFormat="1" ht="15.75">
      <c r="A53" s="154" t="s">
        <v>36</v>
      </c>
      <c r="B53" s="155" t="s">
        <v>239</v>
      </c>
      <c r="C53" s="156"/>
      <c r="D53" s="157"/>
      <c r="E53" s="157"/>
      <c r="F53" s="157"/>
    </row>
    <row r="54" spans="1:8">
      <c r="B54" s="167" t="s">
        <v>244</v>
      </c>
      <c r="C54" s="173"/>
      <c r="D54" s="174"/>
      <c r="E54" s="174"/>
      <c r="F54" s="174"/>
    </row>
    <row r="55" spans="1:8" ht="135">
      <c r="B55" s="167" t="s">
        <v>318</v>
      </c>
      <c r="C55" s="173"/>
      <c r="D55" s="174"/>
      <c r="E55" s="174"/>
      <c r="F55" s="174"/>
    </row>
    <row r="56" spans="1:8">
      <c r="B56" s="167"/>
      <c r="C56" s="173"/>
      <c r="D56" s="174"/>
      <c r="E56" s="174"/>
      <c r="F56" s="174"/>
    </row>
    <row r="57" spans="1:8">
      <c r="A57" s="166" t="s">
        <v>2</v>
      </c>
      <c r="B57" s="175" t="s">
        <v>301</v>
      </c>
      <c r="C57" s="176"/>
      <c r="D57" s="177"/>
      <c r="E57" s="177"/>
      <c r="F57" s="177"/>
    </row>
    <row r="58" spans="1:8" ht="12" customHeight="1"/>
    <row r="59" spans="1:8">
      <c r="B59" s="159" t="s">
        <v>245</v>
      </c>
    </row>
    <row r="60" spans="1:8" ht="25.5">
      <c r="B60" s="178" t="s">
        <v>281</v>
      </c>
    </row>
    <row r="61" spans="1:8">
      <c r="A61" s="192" t="s">
        <v>5</v>
      </c>
      <c r="B61" s="135" t="s">
        <v>300</v>
      </c>
      <c r="C61" s="147" t="s">
        <v>10</v>
      </c>
      <c r="D61" s="146">
        <v>1</v>
      </c>
      <c r="E61" s="146">
        <v>0</v>
      </c>
      <c r="F61" s="146">
        <f t="shared" ref="F61" si="0">+D61*E61</f>
        <v>0</v>
      </c>
    </row>
    <row r="62" spans="1:8" ht="15.75" thickBot="1">
      <c r="B62" s="138"/>
      <c r="C62" s="179"/>
      <c r="D62" s="180"/>
      <c r="E62" s="180"/>
      <c r="F62" s="180"/>
    </row>
    <row r="63" spans="1:8">
      <c r="B63" s="181" t="s">
        <v>302</v>
      </c>
      <c r="C63" s="169"/>
      <c r="D63" s="170"/>
      <c r="E63" s="170"/>
      <c r="F63" s="171">
        <f>SUM(F61:F62)</f>
        <v>0</v>
      </c>
      <c r="H63" s="182"/>
    </row>
    <row r="64" spans="1:8">
      <c r="B64" s="167"/>
      <c r="C64" s="173"/>
      <c r="D64" s="174"/>
      <c r="E64" s="174"/>
      <c r="F64" s="174"/>
    </row>
    <row r="65" spans="1:12">
      <c r="A65" s="166" t="s">
        <v>3</v>
      </c>
      <c r="B65" s="175" t="s">
        <v>237</v>
      </c>
      <c r="C65" s="176"/>
      <c r="D65" s="177"/>
      <c r="E65" s="177"/>
      <c r="F65" s="177"/>
    </row>
    <row r="66" spans="1:12" ht="12" customHeight="1"/>
    <row r="67" spans="1:12">
      <c r="B67" s="159" t="s">
        <v>245</v>
      </c>
    </row>
    <row r="68" spans="1:12">
      <c r="B68" s="178" t="s">
        <v>246</v>
      </c>
    </row>
    <row r="69" spans="1:12" ht="51">
      <c r="B69" s="178" t="s">
        <v>319</v>
      </c>
    </row>
    <row r="70" spans="1:12" ht="25.5">
      <c r="B70" s="178" t="s">
        <v>280</v>
      </c>
    </row>
    <row r="71" spans="1:12" s="184" customFormat="1" ht="25.5">
      <c r="A71" s="206"/>
      <c r="B71" s="178" t="s">
        <v>282</v>
      </c>
      <c r="C71" s="183"/>
      <c r="D71" s="183"/>
      <c r="E71" s="183"/>
      <c r="F71" s="183"/>
      <c r="G71" s="141"/>
      <c r="H71" s="142"/>
      <c r="I71" s="141"/>
      <c r="J71" s="141"/>
      <c r="K71" s="141"/>
      <c r="L71" s="141"/>
    </row>
    <row r="72" spans="1:12">
      <c r="B72" s="135"/>
      <c r="F72" s="146">
        <f t="shared" ref="F72:F73" si="1">+D72*E72</f>
        <v>0</v>
      </c>
    </row>
    <row r="73" spans="1:12">
      <c r="B73" s="135"/>
      <c r="E73" s="180"/>
      <c r="F73" s="146">
        <f t="shared" si="1"/>
        <v>0</v>
      </c>
    </row>
    <row r="74" spans="1:12" ht="30">
      <c r="A74" s="192">
        <v>1</v>
      </c>
      <c r="B74" s="135" t="s">
        <v>321</v>
      </c>
      <c r="C74" s="147" t="s">
        <v>235</v>
      </c>
      <c r="D74" s="146">
        <v>1</v>
      </c>
      <c r="E74" s="180"/>
      <c r="F74" s="146">
        <f>+E74*D74</f>
        <v>0</v>
      </c>
    </row>
    <row r="75" spans="1:12">
      <c r="B75" s="135"/>
      <c r="E75" s="180"/>
      <c r="F75" s="146">
        <f t="shared" ref="F75:F86" si="2">+E75*D75</f>
        <v>0</v>
      </c>
    </row>
    <row r="76" spans="1:12" ht="60">
      <c r="A76" s="192">
        <v>2</v>
      </c>
      <c r="B76" s="135" t="s">
        <v>323</v>
      </c>
      <c r="C76" s="147" t="s">
        <v>10</v>
      </c>
      <c r="D76" s="146">
        <v>3</v>
      </c>
      <c r="E76" s="180"/>
      <c r="F76" s="146">
        <f t="shared" si="2"/>
        <v>0</v>
      </c>
    </row>
    <row r="77" spans="1:12">
      <c r="B77" s="135"/>
      <c r="E77" s="180"/>
    </row>
    <row r="78" spans="1:12">
      <c r="B78" s="135" t="s">
        <v>372</v>
      </c>
      <c r="E78" s="180"/>
    </row>
    <row r="79" spans="1:12" ht="60">
      <c r="A79" s="192">
        <v>2</v>
      </c>
      <c r="B79" s="135" t="s">
        <v>323</v>
      </c>
      <c r="C79" s="147" t="s">
        <v>10</v>
      </c>
      <c r="D79" s="146">
        <v>8</v>
      </c>
      <c r="E79" s="180"/>
    </row>
    <row r="80" spans="1:12">
      <c r="B80" s="135"/>
      <c r="E80" s="180"/>
      <c r="F80" s="146">
        <f t="shared" si="2"/>
        <v>0</v>
      </c>
    </row>
    <row r="81" spans="1:6" ht="45">
      <c r="A81" s="192">
        <v>3</v>
      </c>
      <c r="B81" s="135" t="s">
        <v>322</v>
      </c>
      <c r="C81" s="147" t="s">
        <v>235</v>
      </c>
      <c r="D81" s="146">
        <v>1</v>
      </c>
      <c r="E81" s="180"/>
      <c r="F81" s="146">
        <f t="shared" si="2"/>
        <v>0</v>
      </c>
    </row>
    <row r="82" spans="1:6">
      <c r="B82" s="135"/>
      <c r="E82" s="180"/>
      <c r="F82" s="146">
        <f t="shared" si="2"/>
        <v>0</v>
      </c>
    </row>
    <row r="83" spans="1:6" ht="60">
      <c r="A83" s="192">
        <v>4</v>
      </c>
      <c r="B83" s="135" t="s">
        <v>324</v>
      </c>
      <c r="C83" s="147" t="s">
        <v>10</v>
      </c>
      <c r="D83" s="146">
        <v>3</v>
      </c>
      <c r="E83" s="180"/>
      <c r="F83" s="146">
        <f t="shared" si="2"/>
        <v>0</v>
      </c>
    </row>
    <row r="84" spans="1:6">
      <c r="B84" s="135"/>
      <c r="E84" s="180"/>
      <c r="F84" s="146">
        <f t="shared" si="2"/>
        <v>0</v>
      </c>
    </row>
    <row r="85" spans="1:6" ht="60">
      <c r="A85" s="192">
        <v>5</v>
      </c>
      <c r="B85" s="135" t="s">
        <v>325</v>
      </c>
      <c r="C85" s="147" t="s">
        <v>10</v>
      </c>
      <c r="D85" s="146">
        <v>6</v>
      </c>
      <c r="E85" s="180"/>
      <c r="F85" s="146">
        <f t="shared" si="2"/>
        <v>0</v>
      </c>
    </row>
    <row r="86" spans="1:6">
      <c r="B86" s="135"/>
      <c r="E86" s="180"/>
      <c r="F86" s="146">
        <f t="shared" si="2"/>
        <v>0</v>
      </c>
    </row>
    <row r="87" spans="1:6" ht="60">
      <c r="A87" s="192">
        <v>6</v>
      </c>
      <c r="B87" s="135" t="s">
        <v>327</v>
      </c>
      <c r="C87" s="147" t="s">
        <v>16</v>
      </c>
      <c r="D87" s="146">
        <v>105.416</v>
      </c>
      <c r="E87" s="180"/>
      <c r="F87" s="146">
        <f t="shared" ref="F87:F134" si="3">+E87*D87</f>
        <v>0</v>
      </c>
    </row>
    <row r="88" spans="1:6">
      <c r="B88" s="135"/>
      <c r="E88" s="180"/>
      <c r="F88" s="146">
        <f t="shared" si="3"/>
        <v>0</v>
      </c>
    </row>
    <row r="89" spans="1:6" ht="60">
      <c r="A89" s="192">
        <v>7</v>
      </c>
      <c r="B89" s="135" t="s">
        <v>328</v>
      </c>
      <c r="C89" s="147" t="s">
        <v>16</v>
      </c>
      <c r="D89" s="146">
        <v>52.57</v>
      </c>
      <c r="E89" s="180"/>
      <c r="F89" s="146">
        <f t="shared" si="3"/>
        <v>0</v>
      </c>
    </row>
    <row r="90" spans="1:6">
      <c r="B90" s="135"/>
      <c r="E90" s="180"/>
      <c r="F90" s="146">
        <f t="shared" si="3"/>
        <v>0</v>
      </c>
    </row>
    <row r="91" spans="1:6" ht="60">
      <c r="A91" s="192">
        <v>8</v>
      </c>
      <c r="B91" s="135" t="s">
        <v>326</v>
      </c>
      <c r="C91" s="147" t="s">
        <v>16</v>
      </c>
      <c r="D91" s="146">
        <v>50</v>
      </c>
      <c r="E91" s="180"/>
      <c r="F91" s="146">
        <f t="shared" si="3"/>
        <v>0</v>
      </c>
    </row>
    <row r="92" spans="1:6">
      <c r="B92" s="135"/>
      <c r="E92" s="180"/>
    </row>
    <row r="93" spans="1:6">
      <c r="B93" s="135" t="s">
        <v>372</v>
      </c>
      <c r="E93" s="180"/>
    </row>
    <row r="94" spans="1:6" ht="60">
      <c r="A94" s="192">
        <v>8</v>
      </c>
      <c r="B94" s="135" t="s">
        <v>326</v>
      </c>
      <c r="C94" s="147" t="s">
        <v>16</v>
      </c>
      <c r="D94" s="146">
        <v>80</v>
      </c>
      <c r="E94" s="180"/>
    </row>
    <row r="95" spans="1:6">
      <c r="B95" s="135"/>
      <c r="E95" s="180"/>
      <c r="F95" s="146">
        <f t="shared" si="3"/>
        <v>0</v>
      </c>
    </row>
    <row r="96" spans="1:6" ht="90">
      <c r="A96" s="192">
        <v>9</v>
      </c>
      <c r="B96" s="135" t="s">
        <v>389</v>
      </c>
      <c r="C96" s="147" t="s">
        <v>16</v>
      </c>
      <c r="D96" s="146">
        <v>105</v>
      </c>
      <c r="E96" s="180"/>
      <c r="F96" s="146">
        <f t="shared" si="3"/>
        <v>0</v>
      </c>
    </row>
    <row r="97" spans="1:6">
      <c r="B97" s="135"/>
      <c r="E97" s="180"/>
    </row>
    <row r="98" spans="1:6">
      <c r="B98" s="135" t="s">
        <v>372</v>
      </c>
      <c r="E98" s="180"/>
    </row>
    <row r="99" spans="1:6" ht="90">
      <c r="A99" s="192">
        <v>9</v>
      </c>
      <c r="B99" s="135" t="s">
        <v>389</v>
      </c>
      <c r="C99" s="147" t="s">
        <v>16</v>
      </c>
      <c r="D99" s="146">
        <v>20</v>
      </c>
      <c r="E99" s="180"/>
      <c r="F99" s="146">
        <f t="shared" ref="F99" si="4">+E99*D99</f>
        <v>0</v>
      </c>
    </row>
    <row r="100" spans="1:6">
      <c r="B100" s="135"/>
      <c r="E100" s="180"/>
      <c r="F100" s="146">
        <f t="shared" si="3"/>
        <v>0</v>
      </c>
    </row>
    <row r="101" spans="1:6" ht="75">
      <c r="A101" s="192">
        <v>10</v>
      </c>
      <c r="B101" s="135" t="s">
        <v>390</v>
      </c>
      <c r="C101" s="147" t="s">
        <v>16</v>
      </c>
      <c r="D101" s="146">
        <v>2</v>
      </c>
      <c r="E101" s="180"/>
      <c r="F101" s="146">
        <f t="shared" si="3"/>
        <v>0</v>
      </c>
    </row>
    <row r="102" spans="1:6">
      <c r="B102" s="135"/>
      <c r="E102" s="180"/>
      <c r="F102" s="146">
        <f t="shared" si="3"/>
        <v>0</v>
      </c>
    </row>
    <row r="103" spans="1:6">
      <c r="B103" s="135" t="s">
        <v>372</v>
      </c>
      <c r="E103" s="180"/>
    </row>
    <row r="104" spans="1:6" ht="75">
      <c r="A104" s="192">
        <v>11</v>
      </c>
      <c r="B104" s="135" t="s">
        <v>329</v>
      </c>
      <c r="C104" s="147" t="s">
        <v>10</v>
      </c>
      <c r="D104" s="146">
        <v>7</v>
      </c>
      <c r="E104" s="180"/>
    </row>
    <row r="105" spans="1:6">
      <c r="B105" s="135"/>
      <c r="E105" s="180"/>
      <c r="F105" s="146">
        <f t="shared" si="3"/>
        <v>0</v>
      </c>
    </row>
    <row r="106" spans="1:6" ht="30">
      <c r="A106" s="192">
        <v>12</v>
      </c>
      <c r="B106" s="135" t="s">
        <v>357</v>
      </c>
      <c r="C106" s="147" t="s">
        <v>16</v>
      </c>
      <c r="D106" s="146">
        <v>348</v>
      </c>
      <c r="E106" s="180"/>
      <c r="F106" s="146">
        <f t="shared" si="3"/>
        <v>0</v>
      </c>
    </row>
    <row r="107" spans="1:6">
      <c r="B107" s="135"/>
      <c r="E107" s="180"/>
      <c r="F107" s="146">
        <f t="shared" si="3"/>
        <v>0</v>
      </c>
    </row>
    <row r="108" spans="1:6" ht="90">
      <c r="A108" s="192">
        <v>13</v>
      </c>
      <c r="B108" s="135" t="s">
        <v>330</v>
      </c>
      <c r="C108" s="147" t="s">
        <v>235</v>
      </c>
      <c r="D108" s="146">
        <v>1</v>
      </c>
      <c r="E108" s="180"/>
      <c r="F108" s="146">
        <f t="shared" si="3"/>
        <v>0</v>
      </c>
    </row>
    <row r="109" spans="1:6">
      <c r="B109" s="135"/>
      <c r="E109" s="180"/>
      <c r="F109" s="146">
        <f t="shared" si="3"/>
        <v>0</v>
      </c>
    </row>
    <row r="110" spans="1:6" ht="45">
      <c r="A110" s="192">
        <v>14</v>
      </c>
      <c r="B110" s="135" t="s">
        <v>279</v>
      </c>
      <c r="C110" s="147" t="s">
        <v>11</v>
      </c>
      <c r="D110" s="146">
        <v>25</v>
      </c>
      <c r="E110" s="180"/>
      <c r="F110" s="146">
        <f t="shared" si="3"/>
        <v>0</v>
      </c>
    </row>
    <row r="111" spans="1:6">
      <c r="B111" s="135"/>
      <c r="E111" s="180"/>
      <c r="F111" s="146">
        <f t="shared" si="3"/>
        <v>0</v>
      </c>
    </row>
    <row r="112" spans="1:6" ht="60">
      <c r="A112" s="192">
        <v>15</v>
      </c>
      <c r="B112" s="135" t="s">
        <v>332</v>
      </c>
      <c r="C112" s="147" t="s">
        <v>16</v>
      </c>
      <c r="D112" s="146">
        <v>56.5</v>
      </c>
      <c r="E112" s="180"/>
      <c r="F112" s="146">
        <f t="shared" si="3"/>
        <v>0</v>
      </c>
    </row>
    <row r="113" spans="1:6">
      <c r="B113" s="135"/>
      <c r="E113" s="180"/>
      <c r="F113" s="146">
        <f t="shared" si="3"/>
        <v>0</v>
      </c>
    </row>
    <row r="114" spans="1:6" ht="45">
      <c r="A114" s="192">
        <v>16</v>
      </c>
      <c r="B114" s="135" t="s">
        <v>320</v>
      </c>
      <c r="C114" s="147" t="s">
        <v>16</v>
      </c>
      <c r="D114" s="146">
        <v>185</v>
      </c>
      <c r="E114" s="180"/>
      <c r="F114" s="146">
        <f t="shared" si="3"/>
        <v>0</v>
      </c>
    </row>
    <row r="115" spans="1:6">
      <c r="B115" s="135"/>
      <c r="E115" s="180"/>
      <c r="F115" s="146">
        <f t="shared" si="3"/>
        <v>0</v>
      </c>
    </row>
    <row r="116" spans="1:6" ht="60">
      <c r="A116" s="192">
        <v>17</v>
      </c>
      <c r="B116" s="135" t="s">
        <v>331</v>
      </c>
      <c r="C116" s="147" t="s">
        <v>16</v>
      </c>
      <c r="D116" s="146">
        <v>1.5</v>
      </c>
      <c r="E116" s="180"/>
      <c r="F116" s="146">
        <f t="shared" si="3"/>
        <v>0</v>
      </c>
    </row>
    <row r="117" spans="1:6">
      <c r="B117" s="135"/>
      <c r="E117" s="180"/>
      <c r="F117" s="146">
        <f t="shared" si="3"/>
        <v>0</v>
      </c>
    </row>
    <row r="118" spans="1:6">
      <c r="A118" s="192">
        <v>18</v>
      </c>
      <c r="B118" s="135" t="s">
        <v>333</v>
      </c>
      <c r="C118" s="147" t="s">
        <v>11</v>
      </c>
      <c r="D118" s="146">
        <v>91</v>
      </c>
      <c r="E118" s="180"/>
      <c r="F118" s="146">
        <f t="shared" si="3"/>
        <v>0</v>
      </c>
    </row>
    <row r="119" spans="1:6">
      <c r="B119" s="135"/>
      <c r="E119" s="180"/>
      <c r="F119" s="146">
        <f t="shared" si="3"/>
        <v>0</v>
      </c>
    </row>
    <row r="120" spans="1:6">
      <c r="A120" s="192">
        <v>19</v>
      </c>
      <c r="B120" s="135" t="s">
        <v>334</v>
      </c>
      <c r="C120" s="147" t="s">
        <v>11</v>
      </c>
      <c r="D120" s="146">
        <v>60</v>
      </c>
      <c r="E120" s="180"/>
      <c r="F120" s="146">
        <f t="shared" si="3"/>
        <v>0</v>
      </c>
    </row>
    <row r="121" spans="1:6">
      <c r="B121" s="135"/>
      <c r="E121" s="180"/>
      <c r="F121" s="146">
        <f t="shared" si="3"/>
        <v>0</v>
      </c>
    </row>
    <row r="122" spans="1:6">
      <c r="A122" s="192">
        <v>20</v>
      </c>
      <c r="B122" s="135" t="s">
        <v>335</v>
      </c>
      <c r="C122" s="147" t="s">
        <v>10</v>
      </c>
      <c r="D122" s="146">
        <v>3</v>
      </c>
      <c r="E122" s="180"/>
      <c r="F122" s="146">
        <f t="shared" si="3"/>
        <v>0</v>
      </c>
    </row>
    <row r="123" spans="1:6">
      <c r="B123" s="135"/>
      <c r="E123" s="180"/>
      <c r="F123" s="146">
        <f t="shared" si="3"/>
        <v>0</v>
      </c>
    </row>
    <row r="124" spans="1:6" ht="30">
      <c r="A124" s="192">
        <v>21</v>
      </c>
      <c r="B124" s="135" t="s">
        <v>336</v>
      </c>
      <c r="C124" s="147" t="s">
        <v>235</v>
      </c>
      <c r="D124" s="146">
        <v>1</v>
      </c>
      <c r="E124" s="180"/>
      <c r="F124" s="146">
        <f t="shared" si="3"/>
        <v>0</v>
      </c>
    </row>
    <row r="125" spans="1:6">
      <c r="B125" s="135"/>
      <c r="E125" s="180"/>
      <c r="F125" s="146">
        <f t="shared" si="3"/>
        <v>0</v>
      </c>
    </row>
    <row r="126" spans="1:6">
      <c r="A126" s="192">
        <v>22</v>
      </c>
      <c r="B126" s="135" t="s">
        <v>337</v>
      </c>
      <c r="C126" s="147" t="s">
        <v>26</v>
      </c>
      <c r="D126" s="146">
        <v>10</v>
      </c>
      <c r="E126" s="180"/>
      <c r="F126" s="146">
        <f t="shared" si="3"/>
        <v>0</v>
      </c>
    </row>
    <row r="127" spans="1:6">
      <c r="B127" s="135"/>
      <c r="E127" s="180"/>
      <c r="F127" s="146">
        <f t="shared" si="3"/>
        <v>0</v>
      </c>
    </row>
    <row r="128" spans="1:6">
      <c r="A128" s="192">
        <v>23</v>
      </c>
      <c r="B128" s="135" t="s">
        <v>338</v>
      </c>
      <c r="C128" s="147" t="s">
        <v>235</v>
      </c>
      <c r="D128" s="146">
        <v>1</v>
      </c>
      <c r="E128" s="180"/>
      <c r="F128" s="146">
        <f t="shared" si="3"/>
        <v>0</v>
      </c>
    </row>
    <row r="129" spans="1:6">
      <c r="B129" s="135"/>
      <c r="E129" s="180"/>
      <c r="F129" s="146">
        <f t="shared" si="3"/>
        <v>0</v>
      </c>
    </row>
    <row r="130" spans="1:6">
      <c r="A130" s="192">
        <v>24</v>
      </c>
      <c r="B130" s="135" t="s">
        <v>339</v>
      </c>
      <c r="C130" s="147" t="s">
        <v>16</v>
      </c>
      <c r="D130" s="146">
        <v>53</v>
      </c>
      <c r="E130" s="180"/>
      <c r="F130" s="146">
        <f t="shared" si="3"/>
        <v>0</v>
      </c>
    </row>
    <row r="131" spans="1:6">
      <c r="B131" s="135"/>
      <c r="E131" s="180"/>
      <c r="F131" s="146">
        <f t="shared" si="3"/>
        <v>0</v>
      </c>
    </row>
    <row r="132" spans="1:6">
      <c r="A132" s="192">
        <v>25</v>
      </c>
      <c r="B132" s="135" t="s">
        <v>432</v>
      </c>
      <c r="C132" s="147" t="s">
        <v>235</v>
      </c>
      <c r="D132" s="146">
        <v>5</v>
      </c>
      <c r="E132" s="180"/>
      <c r="F132" s="146">
        <f t="shared" si="3"/>
        <v>0</v>
      </c>
    </row>
    <row r="133" spans="1:6">
      <c r="B133" s="135"/>
      <c r="E133" s="180"/>
      <c r="F133" s="146">
        <f t="shared" si="3"/>
        <v>0</v>
      </c>
    </row>
    <row r="134" spans="1:6">
      <c r="A134" s="192">
        <v>26</v>
      </c>
      <c r="B134" s="135" t="s">
        <v>434</v>
      </c>
      <c r="C134" s="147" t="s">
        <v>16</v>
      </c>
      <c r="D134" s="146">
        <v>2.5</v>
      </c>
      <c r="E134" s="180"/>
      <c r="F134" s="146">
        <f t="shared" si="3"/>
        <v>0</v>
      </c>
    </row>
    <row r="135" spans="1:6" ht="15.75" thickBot="1">
      <c r="B135" s="138"/>
      <c r="C135" s="179"/>
      <c r="D135" s="180"/>
      <c r="E135" s="180"/>
      <c r="F135" s="180"/>
    </row>
    <row r="136" spans="1:6">
      <c r="B136" s="181" t="s">
        <v>238</v>
      </c>
      <c r="C136" s="169"/>
      <c r="D136" s="170"/>
      <c r="E136" s="170"/>
      <c r="F136" s="171">
        <f>SUM(F71:F135)</f>
        <v>0</v>
      </c>
    </row>
    <row r="137" spans="1:6" ht="12" customHeight="1"/>
    <row r="139" spans="1:6">
      <c r="A139" s="166" t="s">
        <v>4</v>
      </c>
      <c r="B139" s="175" t="s">
        <v>33</v>
      </c>
      <c r="C139" s="176"/>
      <c r="D139" s="177"/>
      <c r="E139" s="177"/>
      <c r="F139" s="177"/>
    </row>
    <row r="140" spans="1:6">
      <c r="B140" s="135"/>
    </row>
    <row r="141" spans="1:6">
      <c r="B141" s="159" t="s">
        <v>245</v>
      </c>
    </row>
    <row r="142" spans="1:6" ht="63.75">
      <c r="B142" s="178" t="s">
        <v>247</v>
      </c>
    </row>
    <row r="143" spans="1:6" ht="25.5">
      <c r="B143" s="178" t="s">
        <v>283</v>
      </c>
    </row>
    <row r="144" spans="1:6" ht="25.5">
      <c r="B144" s="178" t="s">
        <v>284</v>
      </c>
    </row>
    <row r="145" spans="1:6" ht="25.5">
      <c r="B145" s="178" t="s">
        <v>285</v>
      </c>
    </row>
    <row r="146" spans="1:6" ht="25.5">
      <c r="B146" s="178" t="s">
        <v>286</v>
      </c>
    </row>
    <row r="147" spans="1:6" ht="38.25">
      <c r="B147" s="178" t="s">
        <v>287</v>
      </c>
    </row>
    <row r="148" spans="1:6" ht="25.5">
      <c r="B148" s="178" t="s">
        <v>288</v>
      </c>
    </row>
    <row r="149" spans="1:6" ht="25.5">
      <c r="B149" s="178" t="s">
        <v>289</v>
      </c>
    </row>
    <row r="150" spans="1:6">
      <c r="B150" s="140"/>
    </row>
    <row r="151" spans="1:6" ht="12" customHeight="1"/>
    <row r="152" spans="1:6" ht="60">
      <c r="A152" s="192" t="s">
        <v>5</v>
      </c>
      <c r="B152" s="135" t="s">
        <v>342</v>
      </c>
      <c r="C152" s="147" t="s">
        <v>22</v>
      </c>
      <c r="D152" s="146">
        <v>15.899999999999999</v>
      </c>
      <c r="F152" s="146">
        <f t="shared" ref="F152:F164" si="5">+D152*E152</f>
        <v>0</v>
      </c>
    </row>
    <row r="153" spans="1:6">
      <c r="B153" s="185"/>
      <c r="F153" s="146">
        <f t="shared" si="5"/>
        <v>0</v>
      </c>
    </row>
    <row r="154" spans="1:6" ht="60">
      <c r="A154" s="192" t="s">
        <v>6</v>
      </c>
      <c r="B154" s="135" t="s">
        <v>343</v>
      </c>
      <c r="C154" s="147" t="s">
        <v>22</v>
      </c>
      <c r="D154" s="146">
        <v>36.9</v>
      </c>
      <c r="F154" s="146">
        <f t="shared" si="5"/>
        <v>0</v>
      </c>
    </row>
    <row r="155" spans="1:6">
      <c r="B155" s="185"/>
      <c r="F155" s="146">
        <f t="shared" si="5"/>
        <v>0</v>
      </c>
    </row>
    <row r="156" spans="1:6" ht="45">
      <c r="A156" s="192" t="s">
        <v>7</v>
      </c>
      <c r="B156" s="135" t="s">
        <v>344</v>
      </c>
      <c r="C156" s="147" t="s">
        <v>16</v>
      </c>
      <c r="D156" s="146">
        <v>123</v>
      </c>
      <c r="F156" s="146">
        <f t="shared" ref="F156" si="6">+D156*E156</f>
        <v>0</v>
      </c>
    </row>
    <row r="157" spans="1:6">
      <c r="B157" s="135"/>
      <c r="F157" s="146">
        <f t="shared" si="5"/>
        <v>0</v>
      </c>
    </row>
    <row r="158" spans="1:6" ht="45">
      <c r="A158" s="192" t="s">
        <v>8</v>
      </c>
      <c r="B158" s="135" t="s">
        <v>208</v>
      </c>
      <c r="C158" s="147" t="s">
        <v>16</v>
      </c>
      <c r="D158" s="146">
        <v>53</v>
      </c>
      <c r="F158" s="146">
        <f t="shared" si="5"/>
        <v>0</v>
      </c>
    </row>
    <row r="159" spans="1:6">
      <c r="B159" s="135"/>
      <c r="F159" s="146">
        <f t="shared" si="5"/>
        <v>0</v>
      </c>
    </row>
    <row r="160" spans="1:6">
      <c r="A160" s="192" t="s">
        <v>9</v>
      </c>
      <c r="B160" s="135" t="s">
        <v>341</v>
      </c>
      <c r="C160" s="147" t="s">
        <v>16</v>
      </c>
      <c r="D160" s="146">
        <v>53</v>
      </c>
      <c r="F160" s="146">
        <f t="shared" si="5"/>
        <v>0</v>
      </c>
    </row>
    <row r="161" spans="1:6">
      <c r="B161" s="135"/>
    </row>
    <row r="162" spans="1:6">
      <c r="A162" s="192" t="s">
        <v>12</v>
      </c>
      <c r="B162" s="135" t="s">
        <v>340</v>
      </c>
      <c r="C162" s="147" t="s">
        <v>22</v>
      </c>
      <c r="D162" s="146">
        <v>15</v>
      </c>
      <c r="F162" s="146">
        <f t="shared" si="5"/>
        <v>0</v>
      </c>
    </row>
    <row r="163" spans="1:6">
      <c r="B163" s="135"/>
      <c r="F163" s="146">
        <f t="shared" si="5"/>
        <v>0</v>
      </c>
    </row>
    <row r="164" spans="1:6" ht="60">
      <c r="A164" s="192" t="s">
        <v>13</v>
      </c>
      <c r="B164" s="135" t="s">
        <v>345</v>
      </c>
      <c r="C164" s="147" t="s">
        <v>22</v>
      </c>
      <c r="D164" s="146">
        <v>24.6</v>
      </c>
      <c r="F164" s="146">
        <f t="shared" si="5"/>
        <v>0</v>
      </c>
    </row>
    <row r="165" spans="1:6" ht="15.75" thickBot="1">
      <c r="B165" s="138"/>
      <c r="C165" s="179"/>
      <c r="D165" s="180"/>
      <c r="E165" s="180"/>
      <c r="F165" s="180"/>
    </row>
    <row r="166" spans="1:6">
      <c r="B166" s="181" t="s">
        <v>37</v>
      </c>
      <c r="C166" s="169"/>
      <c r="D166" s="170"/>
      <c r="E166" s="170"/>
      <c r="F166" s="171">
        <f>SUM(F152:F165)</f>
        <v>0</v>
      </c>
    </row>
    <row r="167" spans="1:6">
      <c r="B167" s="186"/>
      <c r="F167" s="174"/>
    </row>
    <row r="168" spans="1:6">
      <c r="B168" s="186"/>
      <c r="F168" s="174"/>
    </row>
    <row r="169" spans="1:6">
      <c r="A169" s="166" t="s">
        <v>19</v>
      </c>
      <c r="B169" s="187" t="s">
        <v>34</v>
      </c>
      <c r="C169" s="176"/>
      <c r="D169" s="177"/>
      <c r="E169" s="177"/>
      <c r="F169" s="177"/>
    </row>
    <row r="170" spans="1:6">
      <c r="A170" s="166"/>
      <c r="B170" s="186"/>
      <c r="C170" s="188"/>
      <c r="D170" s="189"/>
      <c r="E170" s="189"/>
      <c r="F170" s="189"/>
    </row>
    <row r="171" spans="1:6">
      <c r="A171" s="166"/>
      <c r="B171" s="159" t="s">
        <v>245</v>
      </c>
      <c r="C171" s="188"/>
      <c r="D171" s="189"/>
      <c r="E171" s="189"/>
      <c r="F171" s="189"/>
    </row>
    <row r="172" spans="1:6" s="139" customFormat="1" ht="51">
      <c r="A172" s="150"/>
      <c r="B172" s="178" t="s">
        <v>248</v>
      </c>
      <c r="C172" s="152"/>
      <c r="D172" s="153"/>
      <c r="E172" s="153"/>
      <c r="F172" s="145"/>
    </row>
    <row r="173" spans="1:6" s="139" customFormat="1" ht="63.75">
      <c r="A173" s="150"/>
      <c r="B173" s="178" t="s">
        <v>249</v>
      </c>
      <c r="C173" s="152"/>
      <c r="D173" s="153"/>
      <c r="E173" s="153"/>
      <c r="F173" s="145"/>
    </row>
    <row r="174" spans="1:6" s="139" customFormat="1" ht="38.25">
      <c r="A174" s="150"/>
      <c r="B174" s="178" t="s">
        <v>290</v>
      </c>
      <c r="C174" s="152"/>
      <c r="D174" s="153"/>
      <c r="E174" s="153"/>
      <c r="F174" s="145"/>
    </row>
    <row r="175" spans="1:6">
      <c r="B175" s="135"/>
      <c r="F175" s="174"/>
    </row>
    <row r="176" spans="1:6" ht="45">
      <c r="A176" s="192">
        <v>1</v>
      </c>
      <c r="B176" s="135" t="s">
        <v>346</v>
      </c>
      <c r="C176" s="147" t="s">
        <v>22</v>
      </c>
      <c r="D176" s="180">
        <v>12.5</v>
      </c>
      <c r="F176" s="180">
        <f>+D176*E176</f>
        <v>0</v>
      </c>
    </row>
    <row r="177" spans="1:6">
      <c r="B177" s="135"/>
      <c r="F177" s="180">
        <f t="shared" ref="F177:F178" si="7">+D177*E177</f>
        <v>0</v>
      </c>
    </row>
    <row r="178" spans="1:6" ht="75">
      <c r="A178" s="192">
        <v>2</v>
      </c>
      <c r="B178" s="135" t="s">
        <v>359</v>
      </c>
      <c r="C178" s="147" t="s">
        <v>11</v>
      </c>
      <c r="D178" s="146">
        <v>1.6</v>
      </c>
      <c r="F178" s="180">
        <f t="shared" si="7"/>
        <v>0</v>
      </c>
    </row>
    <row r="179" spans="1:6">
      <c r="B179" s="135"/>
      <c r="F179" s="180"/>
    </row>
    <row r="180" spans="1:6" ht="90">
      <c r="A180" s="192">
        <v>3</v>
      </c>
      <c r="B180" s="135" t="s">
        <v>433</v>
      </c>
      <c r="C180" s="147" t="s">
        <v>10</v>
      </c>
      <c r="D180" s="180">
        <v>6</v>
      </c>
      <c r="F180" s="180">
        <f>+D180*E180</f>
        <v>0</v>
      </c>
    </row>
    <row r="181" spans="1:6" ht="15.75" thickBot="1">
      <c r="B181" s="135" t="s">
        <v>314</v>
      </c>
      <c r="F181" s="180">
        <f t="shared" ref="F181:F227" si="8">+D181*E181</f>
        <v>0</v>
      </c>
    </row>
    <row r="182" spans="1:6">
      <c r="B182" s="190" t="s">
        <v>38</v>
      </c>
      <c r="C182" s="169"/>
      <c r="D182" s="170"/>
      <c r="E182" s="170"/>
      <c r="F182" s="170">
        <f>SUM(F176:F181)</f>
        <v>0</v>
      </c>
    </row>
    <row r="183" spans="1:6">
      <c r="B183" s="191"/>
      <c r="F183" s="180">
        <f t="shared" si="8"/>
        <v>0</v>
      </c>
    </row>
    <row r="184" spans="1:6">
      <c r="B184" s="191"/>
      <c r="F184" s="180">
        <f t="shared" si="8"/>
        <v>0</v>
      </c>
    </row>
    <row r="185" spans="1:6">
      <c r="A185" s="166" t="s">
        <v>20</v>
      </c>
      <c r="B185" s="187" t="s">
        <v>1</v>
      </c>
      <c r="C185" s="176"/>
      <c r="D185" s="177"/>
      <c r="E185" s="177"/>
      <c r="F185" s="177">
        <f t="shared" si="8"/>
        <v>0</v>
      </c>
    </row>
    <row r="186" spans="1:6">
      <c r="B186" s="191"/>
      <c r="F186" s="180">
        <f t="shared" si="8"/>
        <v>0</v>
      </c>
    </row>
    <row r="187" spans="1:6">
      <c r="B187" s="159" t="s">
        <v>245</v>
      </c>
      <c r="F187" s="180">
        <f t="shared" si="8"/>
        <v>0</v>
      </c>
    </row>
    <row r="188" spans="1:6" ht="25.5">
      <c r="B188" s="178" t="s">
        <v>250</v>
      </c>
      <c r="F188" s="180">
        <f t="shared" si="8"/>
        <v>0</v>
      </c>
    </row>
    <row r="189" spans="1:6" ht="51">
      <c r="B189" s="178" t="s">
        <v>251</v>
      </c>
      <c r="F189" s="180">
        <f t="shared" si="8"/>
        <v>0</v>
      </c>
    </row>
    <row r="190" spans="1:6">
      <c r="B190" s="191"/>
      <c r="F190" s="180">
        <f t="shared" si="8"/>
        <v>0</v>
      </c>
    </row>
    <row r="191" spans="1:6" ht="90">
      <c r="A191" s="192">
        <v>1</v>
      </c>
      <c r="B191" s="135" t="s">
        <v>347</v>
      </c>
      <c r="C191" s="147" t="s">
        <v>16</v>
      </c>
      <c r="D191" s="146">
        <v>123</v>
      </c>
      <c r="F191" s="180">
        <f t="shared" si="8"/>
        <v>0</v>
      </c>
    </row>
    <row r="192" spans="1:6">
      <c r="B192" s="135"/>
      <c r="F192" s="180">
        <f t="shared" si="8"/>
        <v>0</v>
      </c>
    </row>
    <row r="193" spans="1:6" ht="75">
      <c r="A193" s="192">
        <v>2</v>
      </c>
      <c r="B193" s="135" t="s">
        <v>348</v>
      </c>
      <c r="C193" s="147" t="s">
        <v>16</v>
      </c>
      <c r="D193" s="146">
        <v>102</v>
      </c>
      <c r="F193" s="180">
        <f t="shared" si="8"/>
        <v>0</v>
      </c>
    </row>
    <row r="194" spans="1:6">
      <c r="B194" s="135"/>
      <c r="F194" s="180">
        <f t="shared" si="8"/>
        <v>0</v>
      </c>
    </row>
    <row r="195" spans="1:6">
      <c r="B195" s="135" t="s">
        <v>372</v>
      </c>
      <c r="F195" s="180"/>
    </row>
    <row r="196" spans="1:6" ht="75">
      <c r="A196" s="192">
        <v>3</v>
      </c>
      <c r="B196" s="135" t="s">
        <v>349</v>
      </c>
      <c r="C196" s="147" t="s">
        <v>16</v>
      </c>
      <c r="D196" s="146">
        <v>20.5</v>
      </c>
      <c r="F196" s="180"/>
    </row>
    <row r="197" spans="1:6">
      <c r="B197" s="135"/>
      <c r="F197" s="180">
        <f t="shared" ref="F197" si="9">+D197*E197</f>
        <v>0</v>
      </c>
    </row>
    <row r="198" spans="1:6" ht="30">
      <c r="A198" s="192">
        <v>4</v>
      </c>
      <c r="B198" s="135" t="s">
        <v>296</v>
      </c>
      <c r="F198" s="180">
        <f t="shared" si="8"/>
        <v>0</v>
      </c>
    </row>
    <row r="199" spans="1:6">
      <c r="B199" s="135" t="s">
        <v>297</v>
      </c>
      <c r="C199" s="147" t="s">
        <v>11</v>
      </c>
      <c r="D199" s="146">
        <v>15</v>
      </c>
      <c r="F199" s="180">
        <f t="shared" si="8"/>
        <v>0</v>
      </c>
    </row>
    <row r="200" spans="1:6">
      <c r="B200" s="135" t="s">
        <v>298</v>
      </c>
      <c r="C200" s="147" t="s">
        <v>11</v>
      </c>
      <c r="D200" s="146">
        <v>25</v>
      </c>
      <c r="F200" s="180">
        <f t="shared" si="8"/>
        <v>0</v>
      </c>
    </row>
    <row r="201" spans="1:6">
      <c r="B201" s="135" t="s">
        <v>299</v>
      </c>
      <c r="C201" s="147" t="s">
        <v>11</v>
      </c>
      <c r="D201" s="146">
        <v>8</v>
      </c>
      <c r="F201" s="180">
        <f t="shared" si="8"/>
        <v>0</v>
      </c>
    </row>
    <row r="202" spans="1:6">
      <c r="B202" s="135"/>
      <c r="F202" s="180">
        <f t="shared" si="8"/>
        <v>0</v>
      </c>
    </row>
    <row r="203" spans="1:6">
      <c r="A203" s="192">
        <v>5</v>
      </c>
      <c r="B203" s="135" t="s">
        <v>353</v>
      </c>
      <c r="C203" s="147" t="s">
        <v>235</v>
      </c>
      <c r="D203" s="146">
        <v>4</v>
      </c>
      <c r="F203" s="180">
        <f t="shared" si="8"/>
        <v>0</v>
      </c>
    </row>
    <row r="204" spans="1:6">
      <c r="B204" s="135"/>
      <c r="F204" s="180">
        <f t="shared" si="8"/>
        <v>0</v>
      </c>
    </row>
    <row r="205" spans="1:6" ht="30">
      <c r="A205" s="192">
        <v>6</v>
      </c>
      <c r="B205" s="135" t="s">
        <v>351</v>
      </c>
      <c r="C205" s="147" t="s">
        <v>11</v>
      </c>
      <c r="D205" s="146">
        <v>50</v>
      </c>
      <c r="F205" s="180">
        <f t="shared" si="8"/>
        <v>0</v>
      </c>
    </row>
    <row r="206" spans="1:6">
      <c r="B206" s="135"/>
      <c r="F206" s="180">
        <f t="shared" si="8"/>
        <v>0</v>
      </c>
    </row>
    <row r="207" spans="1:6" ht="30">
      <c r="A207" s="192">
        <v>7</v>
      </c>
      <c r="B207" s="135" t="s">
        <v>352</v>
      </c>
      <c r="C207" s="147" t="s">
        <v>11</v>
      </c>
      <c r="D207" s="146">
        <v>50</v>
      </c>
      <c r="F207" s="180">
        <f t="shared" ref="F207" si="10">+D207*E207</f>
        <v>0</v>
      </c>
    </row>
    <row r="208" spans="1:6">
      <c r="B208" s="135"/>
      <c r="F208" s="180"/>
    </row>
    <row r="209" spans="1:6">
      <c r="A209" s="192">
        <v>8</v>
      </c>
      <c r="B209" s="135" t="s">
        <v>375</v>
      </c>
      <c r="C209" s="147" t="s">
        <v>26</v>
      </c>
      <c r="D209" s="146">
        <v>10</v>
      </c>
      <c r="F209" s="180">
        <f t="shared" si="8"/>
        <v>0</v>
      </c>
    </row>
    <row r="210" spans="1:6">
      <c r="B210" s="135"/>
      <c r="F210" s="180">
        <f t="shared" si="8"/>
        <v>0</v>
      </c>
    </row>
    <row r="211" spans="1:6" ht="30">
      <c r="A211" s="192">
        <v>9</v>
      </c>
      <c r="B211" s="135" t="s">
        <v>435</v>
      </c>
      <c r="C211" s="147" t="s">
        <v>16</v>
      </c>
      <c r="D211" s="146">
        <v>2.5</v>
      </c>
      <c r="F211" s="180">
        <f t="shared" si="8"/>
        <v>0</v>
      </c>
    </row>
    <row r="212" spans="1:6">
      <c r="B212" s="135"/>
      <c r="F212" s="180">
        <f t="shared" si="8"/>
        <v>0</v>
      </c>
    </row>
    <row r="213" spans="1:6" ht="30">
      <c r="A213" s="192">
        <v>10</v>
      </c>
      <c r="B213" s="135" t="s">
        <v>436</v>
      </c>
      <c r="C213" s="147" t="s">
        <v>10</v>
      </c>
      <c r="D213" s="146">
        <v>1</v>
      </c>
      <c r="F213" s="180">
        <f t="shared" si="8"/>
        <v>0</v>
      </c>
    </row>
    <row r="214" spans="1:6">
      <c r="B214" s="135"/>
      <c r="F214" s="180">
        <f t="shared" si="8"/>
        <v>0</v>
      </c>
    </row>
    <row r="215" spans="1:6" ht="60">
      <c r="A215" s="192">
        <v>11</v>
      </c>
      <c r="B215" s="135" t="s">
        <v>455</v>
      </c>
      <c r="C215" s="147" t="s">
        <v>16</v>
      </c>
      <c r="D215" s="146">
        <v>70</v>
      </c>
      <c r="F215" s="180">
        <f t="shared" si="8"/>
        <v>0</v>
      </c>
    </row>
    <row r="216" spans="1:6">
      <c r="B216" s="135"/>
      <c r="F216" s="180"/>
    </row>
    <row r="217" spans="1:6">
      <c r="B217" s="135" t="s">
        <v>372</v>
      </c>
      <c r="F217" s="180"/>
    </row>
    <row r="218" spans="1:6" ht="60">
      <c r="A218" s="192" t="s">
        <v>454</v>
      </c>
      <c r="B218" s="135" t="s">
        <v>356</v>
      </c>
      <c r="C218" s="147" t="s">
        <v>16</v>
      </c>
      <c r="D218" s="146">
        <v>80</v>
      </c>
      <c r="F218" s="180"/>
    </row>
    <row r="219" spans="1:6">
      <c r="B219" s="135"/>
      <c r="F219" s="180"/>
    </row>
    <row r="220" spans="1:6" ht="45">
      <c r="A220" s="192">
        <v>12</v>
      </c>
      <c r="B220" s="135" t="s">
        <v>252</v>
      </c>
      <c r="C220" s="147" t="s">
        <v>16</v>
      </c>
      <c r="D220" s="146">
        <v>122.5</v>
      </c>
      <c r="F220" s="180">
        <f t="shared" si="8"/>
        <v>0</v>
      </c>
    </row>
    <row r="221" spans="1:6">
      <c r="B221" s="135"/>
      <c r="F221" s="180">
        <f t="shared" si="8"/>
        <v>0</v>
      </c>
    </row>
    <row r="222" spans="1:6" ht="30">
      <c r="A222" s="192">
        <v>13</v>
      </c>
      <c r="B222" s="135" t="s">
        <v>253</v>
      </c>
      <c r="C222" s="179" t="s">
        <v>16</v>
      </c>
      <c r="D222" s="180">
        <v>122.5</v>
      </c>
      <c r="F222" s="180">
        <f t="shared" si="8"/>
        <v>0</v>
      </c>
    </row>
    <row r="223" spans="1:6">
      <c r="B223" s="135"/>
      <c r="F223" s="180">
        <f t="shared" si="8"/>
        <v>0</v>
      </c>
    </row>
    <row r="224" spans="1:6" ht="30">
      <c r="A224" s="192">
        <v>14</v>
      </c>
      <c r="B224" s="135" t="s">
        <v>350</v>
      </c>
      <c r="C224" s="179" t="s">
        <v>16</v>
      </c>
      <c r="D224" s="180">
        <v>275</v>
      </c>
      <c r="F224" s="180">
        <f t="shared" si="8"/>
        <v>0</v>
      </c>
    </row>
    <row r="225" spans="1:6">
      <c r="B225" s="135"/>
      <c r="C225" s="179"/>
      <c r="D225" s="180"/>
      <c r="F225" s="180">
        <f t="shared" si="8"/>
        <v>0</v>
      </c>
    </row>
    <row r="226" spans="1:6" ht="75">
      <c r="A226" s="192">
        <v>15</v>
      </c>
      <c r="B226" s="135" t="s">
        <v>311</v>
      </c>
      <c r="D226" s="180"/>
      <c r="F226" s="180">
        <f t="shared" si="8"/>
        <v>0</v>
      </c>
    </row>
    <row r="227" spans="1:6">
      <c r="B227" s="135" t="s">
        <v>27</v>
      </c>
      <c r="C227" s="147" t="s">
        <v>26</v>
      </c>
      <c r="D227" s="180">
        <v>15</v>
      </c>
      <c r="F227" s="180">
        <f t="shared" si="8"/>
        <v>0</v>
      </c>
    </row>
    <row r="228" spans="1:6">
      <c r="B228" s="135" t="s">
        <v>25</v>
      </c>
      <c r="C228" s="147" t="s">
        <v>26</v>
      </c>
      <c r="D228" s="180">
        <v>15</v>
      </c>
      <c r="F228" s="180">
        <f t="shared" ref="F228:F229" si="11">+D228*E228</f>
        <v>0</v>
      </c>
    </row>
    <row r="229" spans="1:6">
      <c r="B229" s="135" t="s">
        <v>303</v>
      </c>
      <c r="C229" s="147" t="s">
        <v>235</v>
      </c>
      <c r="D229" s="180">
        <v>1</v>
      </c>
      <c r="F229" s="180">
        <f t="shared" si="11"/>
        <v>0</v>
      </c>
    </row>
    <row r="230" spans="1:6" ht="15.75" thickBot="1">
      <c r="B230" s="191"/>
    </row>
    <row r="231" spans="1:6">
      <c r="B231" s="181" t="s">
        <v>35</v>
      </c>
      <c r="C231" s="169"/>
      <c r="D231" s="170"/>
      <c r="E231" s="170"/>
      <c r="F231" s="171">
        <f>SUM(F188:F230)</f>
        <v>0</v>
      </c>
    </row>
    <row r="232" spans="1:6">
      <c r="B232" s="186"/>
      <c r="F232" s="174"/>
    </row>
    <row r="233" spans="1:6">
      <c r="B233" s="186"/>
    </row>
    <row r="234" spans="1:6">
      <c r="B234" s="191"/>
    </row>
    <row r="235" spans="1:6">
      <c r="A235" s="166" t="s">
        <v>21</v>
      </c>
      <c r="B235" s="175" t="s">
        <v>254</v>
      </c>
      <c r="C235" s="176"/>
      <c r="D235" s="177"/>
      <c r="E235" s="177"/>
      <c r="F235" s="177"/>
    </row>
    <row r="236" spans="1:6" ht="12" customHeight="1"/>
    <row r="237" spans="1:6">
      <c r="B237" s="159" t="s">
        <v>245</v>
      </c>
    </row>
    <row r="238" spans="1:6" ht="63.75">
      <c r="B238" s="178" t="s">
        <v>247</v>
      </c>
    </row>
    <row r="239" spans="1:6" ht="25.5">
      <c r="B239" s="178" t="s">
        <v>283</v>
      </c>
    </row>
    <row r="240" spans="1:6" ht="25.5">
      <c r="B240" s="178" t="s">
        <v>284</v>
      </c>
    </row>
    <row r="241" spans="1:6" ht="25.5">
      <c r="B241" s="178" t="s">
        <v>285</v>
      </c>
    </row>
    <row r="242" spans="1:6" ht="25.5">
      <c r="B242" s="178" t="s">
        <v>286</v>
      </c>
    </row>
    <row r="243" spans="1:6" ht="38.25">
      <c r="B243" s="178" t="s">
        <v>287</v>
      </c>
    </row>
    <row r="244" spans="1:6" ht="25.5">
      <c r="B244" s="178" t="s">
        <v>288</v>
      </c>
    </row>
    <row r="245" spans="1:6" ht="12" customHeight="1"/>
    <row r="246" spans="1:6" ht="45">
      <c r="A246" s="192">
        <v>1</v>
      </c>
      <c r="B246" s="135" t="s">
        <v>355</v>
      </c>
      <c r="C246" s="147" t="s">
        <v>11</v>
      </c>
      <c r="D246" s="146">
        <v>10</v>
      </c>
      <c r="F246" s="146">
        <f>+E246*D246</f>
        <v>0</v>
      </c>
    </row>
    <row r="247" spans="1:6" ht="12" customHeight="1">
      <c r="F247" s="146">
        <f t="shared" ref="F247:F269" si="12">+E247*D247</f>
        <v>0</v>
      </c>
    </row>
    <row r="248" spans="1:6" ht="75">
      <c r="A248" s="192">
        <v>2</v>
      </c>
      <c r="B248" s="135" t="s">
        <v>358</v>
      </c>
      <c r="C248" s="147" t="s">
        <v>16</v>
      </c>
      <c r="D248" s="146">
        <v>55</v>
      </c>
      <c r="F248" s="146">
        <f t="shared" si="12"/>
        <v>0</v>
      </c>
    </row>
    <row r="249" spans="1:6">
      <c r="F249" s="146">
        <f t="shared" si="12"/>
        <v>0</v>
      </c>
    </row>
    <row r="250" spans="1:6" ht="75">
      <c r="A250" s="192">
        <v>3</v>
      </c>
      <c r="B250" s="135" t="s">
        <v>444</v>
      </c>
      <c r="C250" s="147" t="s">
        <v>16</v>
      </c>
      <c r="D250" s="146">
        <v>56.5</v>
      </c>
      <c r="F250" s="180">
        <f>+D250*E250</f>
        <v>0</v>
      </c>
    </row>
    <row r="251" spans="1:6">
      <c r="B251" s="135"/>
      <c r="F251" s="180"/>
    </row>
    <row r="252" spans="1:6" ht="45">
      <c r="A252" s="192">
        <v>4</v>
      </c>
      <c r="B252" s="135" t="s">
        <v>437</v>
      </c>
      <c r="C252" s="147" t="s">
        <v>11</v>
      </c>
      <c r="D252" s="146">
        <v>19.600000000000001</v>
      </c>
      <c r="F252" s="146">
        <f t="shared" ref="F252:F258" si="13">+D252*E252</f>
        <v>0</v>
      </c>
    </row>
    <row r="253" spans="1:6">
      <c r="B253" s="135"/>
      <c r="F253" s="146">
        <f t="shared" si="13"/>
        <v>0</v>
      </c>
    </row>
    <row r="254" spans="1:6" ht="45">
      <c r="A254" s="192">
        <v>5</v>
      </c>
      <c r="B254" s="135" t="s">
        <v>438</v>
      </c>
      <c r="C254" s="147" t="s">
        <v>11</v>
      </c>
      <c r="D254" s="146">
        <v>9</v>
      </c>
      <c r="F254" s="146">
        <f t="shared" si="13"/>
        <v>0</v>
      </c>
    </row>
    <row r="255" spans="1:6">
      <c r="B255" s="135"/>
      <c r="F255" s="146">
        <f t="shared" si="13"/>
        <v>0</v>
      </c>
    </row>
    <row r="256" spans="1:6" ht="45">
      <c r="A256" s="192">
        <v>6</v>
      </c>
      <c r="B256" s="135" t="s">
        <v>439</v>
      </c>
      <c r="C256" s="147" t="s">
        <v>11</v>
      </c>
      <c r="D256" s="146">
        <v>18</v>
      </c>
      <c r="F256" s="146">
        <f t="shared" ref="F256" si="14">+D256*E256</f>
        <v>0</v>
      </c>
    </row>
    <row r="257" spans="1:6">
      <c r="B257" s="135"/>
    </row>
    <row r="258" spans="1:6" ht="45">
      <c r="A258" s="192">
        <v>7</v>
      </c>
      <c r="B258" s="135" t="s">
        <v>267</v>
      </c>
      <c r="C258" s="147" t="s">
        <v>11</v>
      </c>
      <c r="D258" s="146">
        <v>10</v>
      </c>
      <c r="F258" s="146">
        <f t="shared" si="13"/>
        <v>0</v>
      </c>
    </row>
    <row r="259" spans="1:6">
      <c r="B259" s="135"/>
    </row>
    <row r="260" spans="1:6">
      <c r="A260" s="192">
        <v>8</v>
      </c>
      <c r="B260" s="135" t="s">
        <v>360</v>
      </c>
      <c r="C260" s="147" t="s">
        <v>11</v>
      </c>
      <c r="D260" s="146">
        <v>15</v>
      </c>
      <c r="F260" s="146">
        <f t="shared" si="12"/>
        <v>0</v>
      </c>
    </row>
    <row r="261" spans="1:6">
      <c r="B261" s="135"/>
      <c r="F261" s="146">
        <f t="shared" si="12"/>
        <v>0</v>
      </c>
    </row>
    <row r="262" spans="1:6" ht="45">
      <c r="A262" s="192">
        <v>9</v>
      </c>
      <c r="B262" s="135" t="s">
        <v>361</v>
      </c>
      <c r="C262" s="147" t="s">
        <v>16</v>
      </c>
      <c r="D262" s="146">
        <v>7</v>
      </c>
      <c r="F262" s="146">
        <f t="shared" si="12"/>
        <v>0</v>
      </c>
    </row>
    <row r="263" spans="1:6">
      <c r="B263" s="135"/>
      <c r="F263" s="146">
        <f t="shared" si="12"/>
        <v>0</v>
      </c>
    </row>
    <row r="264" spans="1:6" ht="60">
      <c r="A264" s="192">
        <v>10</v>
      </c>
      <c r="B264" s="135" t="s">
        <v>362</v>
      </c>
      <c r="C264" s="147" t="s">
        <v>22</v>
      </c>
      <c r="D264" s="146">
        <v>4.5999999999999996</v>
      </c>
      <c r="F264" s="146">
        <f t="shared" si="12"/>
        <v>0</v>
      </c>
    </row>
    <row r="265" spans="1:6">
      <c r="B265" s="135"/>
      <c r="F265" s="146">
        <f t="shared" si="12"/>
        <v>0</v>
      </c>
    </row>
    <row r="266" spans="1:6">
      <c r="A266" s="192">
        <v>11</v>
      </c>
      <c r="B266" s="135" t="s">
        <v>363</v>
      </c>
      <c r="C266" s="147" t="s">
        <v>16</v>
      </c>
      <c r="D266" s="146">
        <v>5</v>
      </c>
      <c r="F266" s="146">
        <f t="shared" si="12"/>
        <v>0</v>
      </c>
    </row>
    <row r="267" spans="1:6">
      <c r="B267" s="135"/>
      <c r="F267" s="146">
        <f t="shared" si="12"/>
        <v>0</v>
      </c>
    </row>
    <row r="268" spans="1:6" ht="60">
      <c r="A268" s="192">
        <v>12</v>
      </c>
      <c r="B268" s="135" t="s">
        <v>364</v>
      </c>
      <c r="C268" s="147" t="s">
        <v>22</v>
      </c>
      <c r="D268" s="146">
        <v>2.6</v>
      </c>
      <c r="F268" s="146">
        <f t="shared" ref="F268" si="15">+D268*E268</f>
        <v>0</v>
      </c>
    </row>
    <row r="269" spans="1:6">
      <c r="B269" s="135"/>
      <c r="F269" s="146">
        <f t="shared" si="12"/>
        <v>0</v>
      </c>
    </row>
    <row r="270" spans="1:6">
      <c r="A270" s="192">
        <v>13</v>
      </c>
      <c r="B270" s="135" t="s">
        <v>365</v>
      </c>
      <c r="C270" s="147" t="s">
        <v>16</v>
      </c>
      <c r="D270" s="146">
        <v>4</v>
      </c>
      <c r="F270" s="146">
        <f t="shared" ref="F270:F275" si="16">+E270*D270</f>
        <v>0</v>
      </c>
    </row>
    <row r="271" spans="1:6">
      <c r="B271" s="135"/>
      <c r="F271" s="146">
        <f t="shared" si="16"/>
        <v>0</v>
      </c>
    </row>
    <row r="272" spans="1:6" ht="30">
      <c r="A272" s="192">
        <v>14</v>
      </c>
      <c r="B272" s="135" t="s">
        <v>366</v>
      </c>
      <c r="C272" s="147" t="s">
        <v>11</v>
      </c>
      <c r="D272" s="146">
        <v>15</v>
      </c>
      <c r="E272" s="180"/>
      <c r="F272" s="146">
        <f t="shared" si="16"/>
        <v>0</v>
      </c>
    </row>
    <row r="273" spans="1:6">
      <c r="B273" s="135"/>
      <c r="F273" s="146">
        <f t="shared" si="16"/>
        <v>0</v>
      </c>
    </row>
    <row r="274" spans="1:6" ht="45">
      <c r="A274" s="192">
        <v>15</v>
      </c>
      <c r="B274" s="135" t="s">
        <v>367</v>
      </c>
      <c r="C274" s="147" t="s">
        <v>16</v>
      </c>
      <c r="D274" s="146">
        <v>4</v>
      </c>
      <c r="E274" s="180"/>
      <c r="F274" s="146">
        <f t="shared" si="16"/>
        <v>0</v>
      </c>
    </row>
    <row r="275" spans="1:6">
      <c r="B275" s="135"/>
      <c r="F275" s="146">
        <f t="shared" si="16"/>
        <v>0</v>
      </c>
    </row>
    <row r="276" spans="1:6" ht="60">
      <c r="A276" s="192">
        <v>16</v>
      </c>
      <c r="B276" s="135" t="s">
        <v>368</v>
      </c>
      <c r="C276" s="147" t="s">
        <v>11</v>
      </c>
      <c r="D276" s="146">
        <v>6</v>
      </c>
      <c r="F276" s="180">
        <f t="shared" ref="F276:F279" si="17">+D276*E276</f>
        <v>0</v>
      </c>
    </row>
    <row r="277" spans="1:6">
      <c r="B277" s="135"/>
      <c r="F277" s="180">
        <f t="shared" si="17"/>
        <v>0</v>
      </c>
    </row>
    <row r="278" spans="1:6" ht="75">
      <c r="A278" s="192">
        <v>17</v>
      </c>
      <c r="B278" s="135" t="s">
        <v>369</v>
      </c>
      <c r="C278" s="147" t="s">
        <v>11</v>
      </c>
      <c r="D278" s="146">
        <v>6</v>
      </c>
      <c r="F278" s="180">
        <f t="shared" si="17"/>
        <v>0</v>
      </c>
    </row>
    <row r="279" spans="1:6">
      <c r="F279" s="180">
        <f t="shared" si="17"/>
        <v>0</v>
      </c>
    </row>
    <row r="280" spans="1:6" ht="15.75" thickBot="1">
      <c r="B280" s="138"/>
      <c r="C280" s="179"/>
      <c r="D280" s="180"/>
      <c r="E280" s="180"/>
      <c r="F280" s="180"/>
    </row>
    <row r="281" spans="1:6">
      <c r="B281" s="181" t="s">
        <v>255</v>
      </c>
      <c r="C281" s="169"/>
      <c r="D281" s="170"/>
      <c r="E281" s="170"/>
      <c r="F281" s="171">
        <f>SUM(F243:F279)</f>
        <v>0</v>
      </c>
    </row>
    <row r="282" spans="1:6">
      <c r="B282" s="186"/>
      <c r="F282" s="174"/>
    </row>
    <row r="283" spans="1:6">
      <c r="B283" s="186"/>
      <c r="F283" s="174"/>
    </row>
    <row r="284" spans="1:6">
      <c r="B284" s="186"/>
      <c r="F284" s="174"/>
    </row>
    <row r="285" spans="1:6" s="155" customFormat="1" ht="15.75">
      <c r="A285" s="154" t="s">
        <v>242</v>
      </c>
      <c r="B285" s="155" t="s">
        <v>241</v>
      </c>
      <c r="C285" s="156"/>
      <c r="D285" s="157"/>
      <c r="E285" s="157"/>
      <c r="F285" s="157"/>
    </row>
    <row r="286" spans="1:6">
      <c r="B286" s="167" t="s">
        <v>244</v>
      </c>
      <c r="C286" s="173"/>
      <c r="D286" s="174"/>
      <c r="E286" s="174"/>
      <c r="F286" s="174"/>
    </row>
    <row r="287" spans="1:6" ht="45">
      <c r="B287" s="167" t="s">
        <v>256</v>
      </c>
      <c r="C287" s="173"/>
      <c r="D287" s="174"/>
      <c r="E287" s="174"/>
      <c r="F287" s="174"/>
    </row>
    <row r="288" spans="1:6" ht="60">
      <c r="B288" s="167" t="s">
        <v>291</v>
      </c>
      <c r="F288" s="174"/>
    </row>
    <row r="289" spans="1:6" ht="60">
      <c r="B289" s="167" t="s">
        <v>292</v>
      </c>
      <c r="F289" s="174"/>
    </row>
    <row r="290" spans="1:6" ht="30">
      <c r="B290" s="167" t="s">
        <v>354</v>
      </c>
      <c r="F290" s="174"/>
    </row>
    <row r="291" spans="1:6" ht="75">
      <c r="B291" s="167" t="s">
        <v>293</v>
      </c>
      <c r="F291" s="174"/>
    </row>
    <row r="292" spans="1:6" ht="240">
      <c r="B292" s="167" t="s">
        <v>294</v>
      </c>
      <c r="F292" s="174"/>
    </row>
    <row r="293" spans="1:6">
      <c r="B293" s="186"/>
      <c r="F293" s="174"/>
    </row>
    <row r="294" spans="1:6">
      <c r="B294" s="186"/>
      <c r="F294" s="174"/>
    </row>
    <row r="295" spans="1:6">
      <c r="B295" s="135"/>
    </row>
    <row r="296" spans="1:6">
      <c r="B296" s="193"/>
      <c r="F296" s="174"/>
    </row>
    <row r="297" spans="1:6">
      <c r="A297" s="166" t="s">
        <v>2</v>
      </c>
      <c r="B297" s="187" t="s">
        <v>263</v>
      </c>
      <c r="C297" s="176"/>
      <c r="D297" s="177"/>
      <c r="E297" s="177"/>
      <c r="F297" s="177"/>
    </row>
    <row r="298" spans="1:6">
      <c r="B298" s="193"/>
      <c r="F298" s="174"/>
    </row>
    <row r="299" spans="1:6">
      <c r="B299" s="159" t="s">
        <v>245</v>
      </c>
      <c r="F299" s="174"/>
    </row>
    <row r="300" spans="1:6" ht="30">
      <c r="B300" s="140" t="s">
        <v>295</v>
      </c>
      <c r="F300" s="174"/>
    </row>
    <row r="301" spans="1:6" ht="30">
      <c r="B301" s="140" t="s">
        <v>376</v>
      </c>
      <c r="F301" s="174"/>
    </row>
    <row r="302" spans="1:6">
      <c r="B302" s="193"/>
      <c r="F302" s="174"/>
    </row>
    <row r="303" spans="1:6">
      <c r="B303" s="193"/>
      <c r="F303" s="174"/>
    </row>
    <row r="304" spans="1:6" ht="105">
      <c r="A304" s="192" t="s">
        <v>5</v>
      </c>
      <c r="B304" s="135" t="s">
        <v>377</v>
      </c>
      <c r="C304" s="147" t="s">
        <v>16</v>
      </c>
      <c r="D304" s="146">
        <v>175</v>
      </c>
      <c r="E304" s="146">
        <v>0</v>
      </c>
      <c r="F304" s="146">
        <f>+D304*E304</f>
        <v>0</v>
      </c>
    </row>
    <row r="305" spans="1:6">
      <c r="B305" s="135"/>
      <c r="F305" s="146">
        <f t="shared" ref="F305:F326" si="18">+D305*E305</f>
        <v>0</v>
      </c>
    </row>
    <row r="306" spans="1:6" ht="105">
      <c r="A306" s="192">
        <v>2</v>
      </c>
      <c r="B306" s="135" t="s">
        <v>378</v>
      </c>
      <c r="C306" s="147" t="s">
        <v>16</v>
      </c>
      <c r="D306" s="146">
        <v>63.2</v>
      </c>
      <c r="F306" s="146">
        <f t="shared" si="18"/>
        <v>0</v>
      </c>
    </row>
    <row r="307" spans="1:6">
      <c r="B307" s="135"/>
      <c r="F307" s="146">
        <f t="shared" si="18"/>
        <v>0</v>
      </c>
    </row>
    <row r="308" spans="1:6" ht="30">
      <c r="A308" s="192">
        <v>3</v>
      </c>
      <c r="B308" s="135" t="s">
        <v>264</v>
      </c>
      <c r="C308" s="147" t="s">
        <v>11</v>
      </c>
      <c r="D308" s="146">
        <v>29.5</v>
      </c>
      <c r="F308" s="146">
        <f t="shared" si="18"/>
        <v>0</v>
      </c>
    </row>
    <row r="309" spans="1:6">
      <c r="B309" s="135"/>
      <c r="F309" s="146">
        <f t="shared" si="18"/>
        <v>0</v>
      </c>
    </row>
    <row r="310" spans="1:6" ht="60">
      <c r="A310" s="192">
        <v>4</v>
      </c>
      <c r="B310" s="135" t="s">
        <v>265</v>
      </c>
      <c r="C310" s="147" t="s">
        <v>235</v>
      </c>
      <c r="D310" s="146">
        <v>4</v>
      </c>
      <c r="F310" s="146">
        <f t="shared" si="18"/>
        <v>0</v>
      </c>
    </row>
    <row r="311" spans="1:6">
      <c r="B311" s="135"/>
    </row>
    <row r="312" spans="1:6" ht="45">
      <c r="A312" s="192">
        <v>5</v>
      </c>
      <c r="B312" s="135" t="s">
        <v>383</v>
      </c>
      <c r="C312" s="147" t="s">
        <v>11</v>
      </c>
      <c r="D312" s="146">
        <v>12</v>
      </c>
      <c r="F312" s="146">
        <f t="shared" ref="F312" si="19">+D312*E312</f>
        <v>0</v>
      </c>
    </row>
    <row r="313" spans="1:6">
      <c r="B313" s="135"/>
      <c r="F313" s="146">
        <f t="shared" si="18"/>
        <v>0</v>
      </c>
    </row>
    <row r="314" spans="1:6" ht="45">
      <c r="A314" s="192">
        <v>6</v>
      </c>
      <c r="B314" s="135" t="s">
        <v>266</v>
      </c>
      <c r="C314" s="147" t="s">
        <v>11</v>
      </c>
      <c r="D314" s="146">
        <v>63.2</v>
      </c>
      <c r="F314" s="146">
        <f t="shared" si="18"/>
        <v>0</v>
      </c>
    </row>
    <row r="315" spans="1:6">
      <c r="B315" s="135"/>
      <c r="F315" s="146">
        <f t="shared" si="18"/>
        <v>0</v>
      </c>
    </row>
    <row r="316" spans="1:6" ht="45">
      <c r="A316" s="192">
        <v>7</v>
      </c>
      <c r="B316" s="135" t="s">
        <v>267</v>
      </c>
      <c r="C316" s="147" t="s">
        <v>11</v>
      </c>
      <c r="D316" s="146">
        <v>14.5</v>
      </c>
      <c r="F316" s="146">
        <f t="shared" si="18"/>
        <v>0</v>
      </c>
    </row>
    <row r="317" spans="1:6">
      <c r="B317" s="135"/>
      <c r="F317" s="146">
        <f t="shared" si="18"/>
        <v>0</v>
      </c>
    </row>
    <row r="318" spans="1:6" ht="45">
      <c r="A318" s="192">
        <v>8</v>
      </c>
      <c r="B318" s="135" t="s">
        <v>379</v>
      </c>
      <c r="C318" s="147" t="s">
        <v>10</v>
      </c>
      <c r="D318" s="146">
        <v>6</v>
      </c>
      <c r="F318" s="146">
        <f t="shared" si="18"/>
        <v>0</v>
      </c>
    </row>
    <row r="319" spans="1:6">
      <c r="B319" s="135"/>
      <c r="F319" s="146">
        <f t="shared" si="18"/>
        <v>0</v>
      </c>
    </row>
    <row r="320" spans="1:6" ht="75">
      <c r="A320" s="192">
        <v>9</v>
      </c>
      <c r="B320" s="194" t="s">
        <v>380</v>
      </c>
      <c r="C320" s="147" t="s">
        <v>11</v>
      </c>
      <c r="D320" s="146">
        <v>63.2</v>
      </c>
      <c r="F320" s="146">
        <f t="shared" ref="F320:F321" si="20">+D320*E320</f>
        <v>0</v>
      </c>
    </row>
    <row r="321" spans="1:6">
      <c r="B321" s="135"/>
      <c r="F321" s="146">
        <f t="shared" si="20"/>
        <v>0</v>
      </c>
    </row>
    <row r="322" spans="1:6" ht="60">
      <c r="A322" s="192">
        <v>10</v>
      </c>
      <c r="B322" s="194" t="s">
        <v>381</v>
      </c>
      <c r="C322" s="147" t="s">
        <v>11</v>
      </c>
      <c r="D322" s="146">
        <v>63.2</v>
      </c>
      <c r="F322" s="146">
        <f t="shared" si="18"/>
        <v>0</v>
      </c>
    </row>
    <row r="323" spans="1:6">
      <c r="B323" s="135"/>
      <c r="F323" s="146">
        <f t="shared" si="18"/>
        <v>0</v>
      </c>
    </row>
    <row r="324" spans="1:6">
      <c r="B324" s="135"/>
      <c r="F324" s="146">
        <f t="shared" si="18"/>
        <v>0</v>
      </c>
    </row>
    <row r="325" spans="1:6" ht="45">
      <c r="A325" s="192">
        <v>11</v>
      </c>
      <c r="B325" s="135" t="s">
        <v>382</v>
      </c>
      <c r="C325" s="147" t="s">
        <v>10</v>
      </c>
      <c r="D325" s="146">
        <v>5</v>
      </c>
      <c r="F325" s="146">
        <f t="shared" si="18"/>
        <v>0</v>
      </c>
    </row>
    <row r="326" spans="1:6">
      <c r="B326" s="135"/>
      <c r="F326" s="146">
        <f t="shared" si="18"/>
        <v>0</v>
      </c>
    </row>
    <row r="327" spans="1:6" ht="15.75" thickBot="1">
      <c r="B327" s="193"/>
    </row>
    <row r="328" spans="1:6">
      <c r="B328" s="190" t="s">
        <v>257</v>
      </c>
      <c r="C328" s="169"/>
      <c r="D328" s="170"/>
      <c r="E328" s="170"/>
      <c r="F328" s="171">
        <f>SUM(F304:F327)</f>
        <v>0</v>
      </c>
    </row>
    <row r="329" spans="1:6">
      <c r="B329" s="193"/>
      <c r="F329" s="174"/>
    </row>
    <row r="330" spans="1:6">
      <c r="B330" s="193"/>
      <c r="F330" s="174"/>
    </row>
    <row r="331" spans="1:6">
      <c r="A331" s="166" t="s">
        <v>3</v>
      </c>
      <c r="B331" s="187" t="s">
        <v>39</v>
      </c>
      <c r="C331" s="176"/>
      <c r="D331" s="177"/>
      <c r="E331" s="177"/>
      <c r="F331" s="177"/>
    </row>
    <row r="332" spans="1:6">
      <c r="B332" s="193"/>
      <c r="F332" s="174"/>
    </row>
    <row r="333" spans="1:6">
      <c r="B333" s="159" t="s">
        <v>245</v>
      </c>
      <c r="F333" s="174"/>
    </row>
    <row r="334" spans="1:6" ht="30">
      <c r="B334" s="140" t="s">
        <v>295</v>
      </c>
      <c r="F334" s="174"/>
    </row>
    <row r="335" spans="1:6">
      <c r="B335" s="140"/>
      <c r="F335" s="174"/>
    </row>
    <row r="336" spans="1:6">
      <c r="B336" s="140"/>
      <c r="F336" s="174"/>
    </row>
    <row r="337" spans="1:7" ht="30">
      <c r="A337" s="192">
        <v>1</v>
      </c>
      <c r="B337" s="135" t="s">
        <v>384</v>
      </c>
      <c r="C337" s="147" t="s">
        <v>16</v>
      </c>
      <c r="D337" s="146">
        <v>184</v>
      </c>
      <c r="F337" s="205">
        <f>+E337*D337</f>
        <v>0</v>
      </c>
    </row>
    <row r="338" spans="1:7">
      <c r="B338" s="135"/>
      <c r="F338" s="205">
        <f t="shared" ref="F338:F341" si="21">+E338*D338</f>
        <v>0</v>
      </c>
    </row>
    <row r="339" spans="1:7">
      <c r="A339" s="192">
        <v>2</v>
      </c>
      <c r="B339" s="135" t="s">
        <v>385</v>
      </c>
      <c r="C339" s="147" t="s">
        <v>26</v>
      </c>
      <c r="D339" s="146">
        <v>10</v>
      </c>
      <c r="F339" s="205">
        <f t="shared" si="21"/>
        <v>0</v>
      </c>
    </row>
    <row r="340" spans="1:7">
      <c r="B340" s="135"/>
      <c r="F340" s="174"/>
    </row>
    <row r="341" spans="1:7" ht="75">
      <c r="A341" s="192">
        <v>3</v>
      </c>
      <c r="B341" s="135" t="s">
        <v>453</v>
      </c>
      <c r="C341" s="147" t="s">
        <v>16</v>
      </c>
      <c r="D341" s="146">
        <v>237</v>
      </c>
      <c r="F341" s="205">
        <f t="shared" si="21"/>
        <v>0</v>
      </c>
    </row>
    <row r="342" spans="1:7" ht="15.75" thickBot="1">
      <c r="B342" s="193"/>
      <c r="F342" s="174"/>
    </row>
    <row r="343" spans="1:7">
      <c r="B343" s="190" t="s">
        <v>40</v>
      </c>
      <c r="C343" s="169"/>
      <c r="D343" s="170"/>
      <c r="E343" s="170"/>
      <c r="F343" s="171">
        <f>SUM(F337:F342)</f>
        <v>0</v>
      </c>
    </row>
    <row r="344" spans="1:7">
      <c r="B344" s="193"/>
      <c r="C344" s="173"/>
      <c r="D344" s="174"/>
      <c r="E344" s="174"/>
      <c r="F344" s="174"/>
    </row>
    <row r="345" spans="1:7">
      <c r="B345" s="193"/>
      <c r="C345" s="173"/>
      <c r="D345" s="174"/>
      <c r="E345" s="174"/>
      <c r="F345" s="174"/>
    </row>
    <row r="346" spans="1:7">
      <c r="A346" s="166" t="s">
        <v>4</v>
      </c>
      <c r="B346" s="187" t="s">
        <v>258</v>
      </c>
      <c r="C346" s="176"/>
      <c r="D346" s="177"/>
      <c r="E346" s="177"/>
      <c r="F346" s="177"/>
    </row>
    <row r="347" spans="1:7">
      <c r="B347" s="193"/>
      <c r="C347" s="173"/>
      <c r="D347" s="174"/>
      <c r="E347" s="174"/>
      <c r="F347" s="174"/>
    </row>
    <row r="348" spans="1:7">
      <c r="B348" s="159" t="s">
        <v>245</v>
      </c>
      <c r="C348" s="173"/>
      <c r="D348" s="174"/>
      <c r="E348" s="174"/>
      <c r="F348" s="174"/>
    </row>
    <row r="349" spans="1:7" ht="45">
      <c r="B349" s="140" t="s">
        <v>268</v>
      </c>
      <c r="C349" s="173"/>
      <c r="D349" s="174"/>
      <c r="E349" s="174"/>
      <c r="F349" s="174"/>
    </row>
    <row r="350" spans="1:7">
      <c r="B350" s="193"/>
      <c r="C350" s="173"/>
      <c r="D350" s="174"/>
      <c r="E350" s="174"/>
      <c r="F350" s="174"/>
    </row>
    <row r="351" spans="1:7" customFormat="1" ht="105">
      <c r="A351" s="200">
        <v>1</v>
      </c>
      <c r="B351" s="200" t="s">
        <v>370</v>
      </c>
      <c r="D351" s="201"/>
      <c r="E351" s="202"/>
      <c r="F351" s="202"/>
      <c r="G351" s="202"/>
    </row>
    <row r="352" spans="1:7" customFormat="1">
      <c r="A352" s="200"/>
      <c r="B352" s="200"/>
      <c r="C352" s="203" t="s">
        <v>16</v>
      </c>
      <c r="D352" s="201">
        <v>82.82</v>
      </c>
      <c r="E352" s="202"/>
      <c r="F352" s="202">
        <f>+E352*D352</f>
        <v>0</v>
      </c>
      <c r="G352" s="202"/>
    </row>
    <row r="353" spans="1:7" customFormat="1">
      <c r="A353" s="200"/>
      <c r="B353" s="200"/>
      <c r="C353" s="203"/>
      <c r="D353" s="201"/>
      <c r="E353" s="202"/>
      <c r="F353" s="202"/>
      <c r="G353" s="202"/>
    </row>
    <row r="354" spans="1:7">
      <c r="B354" s="135" t="s">
        <v>386</v>
      </c>
    </row>
    <row r="355" spans="1:7" ht="120">
      <c r="A355" s="192">
        <v>2</v>
      </c>
      <c r="B355" s="135" t="s">
        <v>387</v>
      </c>
      <c r="C355" s="147" t="s">
        <v>16</v>
      </c>
      <c r="D355" s="146">
        <v>16</v>
      </c>
    </row>
    <row r="356" spans="1:7">
      <c r="B356" s="135"/>
      <c r="F356" s="146">
        <f t="shared" ref="F356:F357" si="22">+D356*E356</f>
        <v>0</v>
      </c>
    </row>
    <row r="357" spans="1:7">
      <c r="B357" s="135"/>
      <c r="F357" s="146">
        <f t="shared" si="22"/>
        <v>0</v>
      </c>
    </row>
    <row r="358" spans="1:7" ht="15.75" thickBot="1">
      <c r="B358" s="193"/>
      <c r="D358" s="174"/>
      <c r="E358" s="174"/>
      <c r="F358" s="174"/>
    </row>
    <row r="359" spans="1:7">
      <c r="B359" s="190" t="s">
        <v>259</v>
      </c>
      <c r="C359" s="195"/>
      <c r="D359" s="171"/>
      <c r="E359" s="171"/>
      <c r="F359" s="171">
        <f>SUM(F351:F358)</f>
        <v>0</v>
      </c>
    </row>
    <row r="360" spans="1:7">
      <c r="B360" s="193"/>
      <c r="C360" s="173"/>
      <c r="D360" s="174"/>
      <c r="E360" s="174"/>
      <c r="F360" s="174"/>
    </row>
    <row r="361" spans="1:7">
      <c r="B361" s="135"/>
    </row>
    <row r="362" spans="1:7">
      <c r="A362" s="166" t="s">
        <v>19</v>
      </c>
      <c r="B362" s="196" t="s">
        <v>23</v>
      </c>
      <c r="C362" s="177"/>
      <c r="D362" s="177"/>
      <c r="E362" s="177"/>
      <c r="F362" s="177"/>
    </row>
    <row r="363" spans="1:7">
      <c r="B363" s="135"/>
    </row>
    <row r="364" spans="1:7">
      <c r="B364" s="159" t="s">
        <v>245</v>
      </c>
      <c r="C364" s="173"/>
      <c r="D364" s="174"/>
      <c r="E364" s="174"/>
      <c r="F364" s="174"/>
    </row>
    <row r="365" spans="1:7">
      <c r="B365" s="140" t="s">
        <v>269</v>
      </c>
      <c r="C365" s="173"/>
      <c r="D365" s="174"/>
      <c r="E365" s="174"/>
      <c r="F365" s="174"/>
    </row>
    <row r="366" spans="1:7">
      <c r="B366" s="135"/>
    </row>
    <row r="367" spans="1:7" ht="30">
      <c r="A367" s="192">
        <v>1</v>
      </c>
      <c r="B367" s="135" t="s">
        <v>371</v>
      </c>
      <c r="C367" s="147" t="s">
        <v>16</v>
      </c>
      <c r="D367" s="146">
        <v>413.34000000000003</v>
      </c>
      <c r="F367" s="146">
        <f>+D367*E367</f>
        <v>0</v>
      </c>
    </row>
    <row r="368" spans="1:7">
      <c r="B368" s="135"/>
      <c r="F368" s="146">
        <f t="shared" ref="F368:F371" si="23">+D368*E368</f>
        <v>0</v>
      </c>
    </row>
    <row r="369" spans="1:6" ht="45">
      <c r="A369" s="192">
        <v>2</v>
      </c>
      <c r="B369" s="135" t="s">
        <v>388</v>
      </c>
      <c r="C369" s="147" t="s">
        <v>16</v>
      </c>
      <c r="D369" s="146">
        <v>15</v>
      </c>
      <c r="F369" s="146">
        <f t="shared" si="23"/>
        <v>0</v>
      </c>
    </row>
    <row r="370" spans="1:6">
      <c r="B370" s="135"/>
      <c r="F370" s="146">
        <f t="shared" si="23"/>
        <v>0</v>
      </c>
    </row>
    <row r="371" spans="1:6" ht="30">
      <c r="A371" s="192">
        <v>3</v>
      </c>
      <c r="B371" s="135" t="s">
        <v>315</v>
      </c>
      <c r="C371" s="147" t="s">
        <v>16</v>
      </c>
      <c r="D371" s="146">
        <v>428.34000000000003</v>
      </c>
      <c r="F371" s="146">
        <f t="shared" si="23"/>
        <v>0</v>
      </c>
    </row>
    <row r="372" spans="1:6" ht="15.75" thickBot="1">
      <c r="B372" s="135"/>
    </row>
    <row r="373" spans="1:6">
      <c r="B373" s="190" t="s">
        <v>24</v>
      </c>
      <c r="C373" s="169"/>
      <c r="D373" s="170"/>
      <c r="E373" s="170"/>
      <c r="F373" s="171">
        <f>SUM(F367:F372)</f>
        <v>0</v>
      </c>
    </row>
    <row r="374" spans="1:6">
      <c r="B374" s="193"/>
      <c r="F374" s="174"/>
    </row>
    <row r="375" spans="1:6">
      <c r="B375" s="197"/>
      <c r="C375" s="179"/>
      <c r="D375" s="180"/>
      <c r="F375" s="180"/>
    </row>
    <row r="376" spans="1:6">
      <c r="A376" s="166" t="s">
        <v>20</v>
      </c>
      <c r="B376" s="196" t="s">
        <v>260</v>
      </c>
      <c r="C376" s="177"/>
      <c r="D376" s="177"/>
      <c r="E376" s="177"/>
      <c r="F376" s="177"/>
    </row>
    <row r="377" spans="1:6">
      <c r="B377" s="135"/>
    </row>
    <row r="378" spans="1:6">
      <c r="B378" s="159" t="s">
        <v>245</v>
      </c>
    </row>
    <row r="379" spans="1:6">
      <c r="B379" s="140" t="s">
        <v>270</v>
      </c>
    </row>
    <row r="380" spans="1:6">
      <c r="B380" s="135"/>
    </row>
    <row r="381" spans="1:6" ht="105">
      <c r="A381" s="192">
        <v>1</v>
      </c>
      <c r="B381" s="143" t="s">
        <v>446</v>
      </c>
      <c r="C381" s="147" t="s">
        <v>16</v>
      </c>
      <c r="D381" s="146">
        <v>20.5</v>
      </c>
      <c r="F381" s="146">
        <f>+D381*E381</f>
        <v>0</v>
      </c>
    </row>
    <row r="382" spans="1:6">
      <c r="B382" s="143"/>
      <c r="F382" s="146">
        <f t="shared" ref="F382:F397" si="24">+D382*E382</f>
        <v>0</v>
      </c>
    </row>
    <row r="383" spans="1:6">
      <c r="B383" s="143" t="s">
        <v>372</v>
      </c>
    </row>
    <row r="384" spans="1:6" ht="90">
      <c r="A384" s="192">
        <v>2</v>
      </c>
      <c r="B384" s="143" t="s">
        <v>447</v>
      </c>
      <c r="C384" s="147" t="s">
        <v>16</v>
      </c>
      <c r="D384" s="146">
        <v>20</v>
      </c>
    </row>
    <row r="385" spans="1:7">
      <c r="B385" s="143"/>
      <c r="F385" s="146">
        <f t="shared" si="24"/>
        <v>0</v>
      </c>
    </row>
    <row r="386" spans="1:7">
      <c r="B386" s="143" t="s">
        <v>372</v>
      </c>
    </row>
    <row r="387" spans="1:7" ht="45">
      <c r="A387" s="192">
        <v>3</v>
      </c>
      <c r="B387" s="143" t="s">
        <v>312</v>
      </c>
      <c r="C387" s="147" t="s">
        <v>16</v>
      </c>
      <c r="D387" s="146">
        <v>82.66</v>
      </c>
    </row>
    <row r="388" spans="1:7">
      <c r="B388" s="143"/>
    </row>
    <row r="389" spans="1:7">
      <c r="B389" s="143" t="s">
        <v>372</v>
      </c>
    </row>
    <row r="390" spans="1:7" ht="75">
      <c r="A390" s="192">
        <v>4</v>
      </c>
      <c r="B390" s="143" t="s">
        <v>448</v>
      </c>
      <c r="C390" s="147" t="s">
        <v>16</v>
      </c>
      <c r="D390" s="146">
        <v>82.66</v>
      </c>
    </row>
    <row r="391" spans="1:7">
      <c r="B391" s="143"/>
    </row>
    <row r="392" spans="1:7" ht="75">
      <c r="A392" s="192">
        <v>5</v>
      </c>
      <c r="B392" s="143" t="s">
        <v>449</v>
      </c>
      <c r="C392" s="147" t="s">
        <v>16</v>
      </c>
      <c r="D392" s="146">
        <v>2</v>
      </c>
      <c r="F392" s="146">
        <f>+E392*D392</f>
        <v>0</v>
      </c>
    </row>
    <row r="393" spans="1:7">
      <c r="B393" s="143"/>
    </row>
    <row r="394" spans="1:7" ht="30">
      <c r="A394" s="192">
        <v>6</v>
      </c>
      <c r="B394" s="143" t="s">
        <v>271</v>
      </c>
      <c r="C394" s="147" t="s">
        <v>11</v>
      </c>
      <c r="D394" s="146">
        <v>6</v>
      </c>
      <c r="F394" s="146">
        <f t="shared" si="24"/>
        <v>0</v>
      </c>
    </row>
    <row r="395" spans="1:7">
      <c r="B395" s="143"/>
      <c r="F395" s="146">
        <f t="shared" si="24"/>
        <v>0</v>
      </c>
    </row>
    <row r="396" spans="1:7" customFormat="1" ht="270">
      <c r="A396" s="200">
        <v>7</v>
      </c>
      <c r="B396" s="200" t="s">
        <v>391</v>
      </c>
      <c r="C396" t="s">
        <v>16</v>
      </c>
      <c r="D396" s="202">
        <v>82.82</v>
      </c>
      <c r="E396" s="202"/>
      <c r="F396" s="146">
        <f>+D396*E396</f>
        <v>0</v>
      </c>
      <c r="G396" s="202"/>
    </row>
    <row r="397" spans="1:7" customFormat="1">
      <c r="A397" s="200"/>
      <c r="B397" s="200"/>
      <c r="D397" s="202"/>
      <c r="E397" s="202"/>
      <c r="F397" s="146">
        <f t="shared" si="24"/>
        <v>0</v>
      </c>
      <c r="G397" s="202"/>
    </row>
    <row r="398" spans="1:7" customFormat="1">
      <c r="A398" s="200">
        <v>8</v>
      </c>
      <c r="B398" s="200" t="s">
        <v>392</v>
      </c>
      <c r="C398" t="s">
        <v>11</v>
      </c>
      <c r="D398" s="202">
        <v>12</v>
      </c>
      <c r="E398" s="202"/>
      <c r="F398" s="146">
        <f>+D398*E398</f>
        <v>0</v>
      </c>
      <c r="G398" s="202"/>
    </row>
    <row r="399" spans="1:7" ht="15.75" thickBot="1"/>
    <row r="400" spans="1:7">
      <c r="B400" s="198" t="s">
        <v>261</v>
      </c>
      <c r="C400" s="169"/>
      <c r="D400" s="170"/>
      <c r="E400" s="170"/>
      <c r="F400" s="199">
        <f>SUM(F381:F399)</f>
        <v>0</v>
      </c>
    </row>
    <row r="402" spans="1:6">
      <c r="A402" s="166" t="s">
        <v>21</v>
      </c>
      <c r="B402" s="196" t="s">
        <v>262</v>
      </c>
      <c r="C402" s="177"/>
      <c r="D402" s="177"/>
      <c r="E402" s="177"/>
      <c r="F402" s="177"/>
    </row>
    <row r="403" spans="1:6">
      <c r="A403" s="166"/>
      <c r="B403" s="196"/>
      <c r="C403" s="177"/>
      <c r="D403" s="177"/>
      <c r="E403" s="177"/>
      <c r="F403" s="177"/>
    </row>
    <row r="404" spans="1:6">
      <c r="B404" s="159" t="s">
        <v>245</v>
      </c>
    </row>
    <row r="405" spans="1:6" ht="105">
      <c r="B405" s="140" t="s">
        <v>393</v>
      </c>
    </row>
    <row r="406" spans="1:6">
      <c r="B406" s="140"/>
    </row>
    <row r="407" spans="1:6">
      <c r="B407" s="207" t="s">
        <v>397</v>
      </c>
    </row>
    <row r="408" spans="1:6">
      <c r="B408" s="140"/>
    </row>
    <row r="409" spans="1:6" ht="60">
      <c r="A409" s="192">
        <v>1</v>
      </c>
      <c r="B409" s="135" t="s">
        <v>452</v>
      </c>
      <c r="C409" s="147" t="s">
        <v>10</v>
      </c>
      <c r="D409" s="146">
        <v>6</v>
      </c>
      <c r="E409" s="180"/>
      <c r="F409" s="146">
        <f t="shared" ref="F409" si="25">+E409*D409</f>
        <v>0</v>
      </c>
    </row>
    <row r="410" spans="1:6">
      <c r="B410" s="143"/>
    </row>
    <row r="411" spans="1:6" ht="30">
      <c r="A411" s="192" t="s">
        <v>457</v>
      </c>
      <c r="B411" s="135" t="s">
        <v>458</v>
      </c>
      <c r="C411" s="147" t="s">
        <v>10</v>
      </c>
      <c r="D411" s="146">
        <v>1</v>
      </c>
      <c r="E411" s="180"/>
      <c r="F411" s="146">
        <f t="shared" ref="F411" si="26">+E411*D411</f>
        <v>0</v>
      </c>
    </row>
    <row r="412" spans="1:6">
      <c r="B412" s="143"/>
    </row>
    <row r="413" spans="1:6">
      <c r="B413" s="207" t="s">
        <v>398</v>
      </c>
    </row>
    <row r="414" spans="1:6">
      <c r="B414" s="140"/>
    </row>
    <row r="415" spans="1:6">
      <c r="A415" s="192">
        <v>3</v>
      </c>
      <c r="B415" s="143" t="s">
        <v>399</v>
      </c>
      <c r="C415" s="147" t="s">
        <v>10</v>
      </c>
      <c r="D415" s="146">
        <v>1</v>
      </c>
      <c r="F415" s="146">
        <f>+D415*E415</f>
        <v>0</v>
      </c>
    </row>
    <row r="416" spans="1:6">
      <c r="B416" s="143" t="s">
        <v>400</v>
      </c>
    </row>
    <row r="417" spans="1:6">
      <c r="B417" s="143" t="s">
        <v>405</v>
      </c>
    </row>
    <row r="418" spans="1:6">
      <c r="B418" s="143" t="s">
        <v>395</v>
      </c>
    </row>
    <row r="419" spans="1:6">
      <c r="B419" s="143" t="s">
        <v>313</v>
      </c>
    </row>
    <row r="420" spans="1:6">
      <c r="B420" s="143" t="s">
        <v>304</v>
      </c>
    </row>
    <row r="421" spans="1:6">
      <c r="B421" s="143" t="s">
        <v>274</v>
      </c>
    </row>
    <row r="422" spans="1:6" ht="30">
      <c r="B422" s="143" t="s">
        <v>396</v>
      </c>
    </row>
    <row r="423" spans="1:6">
      <c r="B423" s="143" t="s">
        <v>305</v>
      </c>
    </row>
    <row r="424" spans="1:6" ht="30">
      <c r="B424" s="143" t="s">
        <v>401</v>
      </c>
    </row>
    <row r="425" spans="1:6" ht="30">
      <c r="B425" s="143" t="s">
        <v>273</v>
      </c>
    </row>
    <row r="426" spans="1:6">
      <c r="B426" s="143"/>
    </row>
    <row r="427" spans="1:6">
      <c r="B427" s="143"/>
    </row>
    <row r="428" spans="1:6">
      <c r="B428" s="207" t="s">
        <v>402</v>
      </c>
    </row>
    <row r="429" spans="1:6">
      <c r="B429" s="143"/>
    </row>
    <row r="430" spans="1:6">
      <c r="A430" s="192">
        <v>4</v>
      </c>
      <c r="B430" s="143" t="s">
        <v>403</v>
      </c>
      <c r="C430" s="147" t="s">
        <v>10</v>
      </c>
      <c r="D430" s="146">
        <v>1</v>
      </c>
      <c r="F430" s="146">
        <f>+D430*E430</f>
        <v>0</v>
      </c>
    </row>
    <row r="431" spans="1:6">
      <c r="B431" s="143" t="s">
        <v>404</v>
      </c>
    </row>
    <row r="432" spans="1:6">
      <c r="B432" s="143" t="s">
        <v>394</v>
      </c>
    </row>
    <row r="433" spans="1:6">
      <c r="B433" s="143" t="s">
        <v>395</v>
      </c>
    </row>
    <row r="434" spans="1:6">
      <c r="B434" s="143" t="s">
        <v>313</v>
      </c>
    </row>
    <row r="435" spans="1:6">
      <c r="B435" s="143" t="s">
        <v>306</v>
      </c>
    </row>
    <row r="436" spans="1:6">
      <c r="B436" s="143" t="s">
        <v>274</v>
      </c>
    </row>
    <row r="437" spans="1:6" ht="30">
      <c r="B437" s="143" t="s">
        <v>408</v>
      </c>
    </row>
    <row r="438" spans="1:6" ht="60">
      <c r="B438" s="143" t="s">
        <v>450</v>
      </c>
    </row>
    <row r="439" spans="1:6" ht="30">
      <c r="B439" s="143" t="s">
        <v>273</v>
      </c>
    </row>
    <row r="440" spans="1:6">
      <c r="B440" s="143"/>
    </row>
    <row r="441" spans="1:6">
      <c r="A441" s="192">
        <v>5</v>
      </c>
      <c r="B441" s="143" t="s">
        <v>406</v>
      </c>
      <c r="C441" s="147" t="s">
        <v>10</v>
      </c>
      <c r="D441" s="146">
        <v>1</v>
      </c>
      <c r="F441" s="146">
        <f>+D441*E441</f>
        <v>0</v>
      </c>
    </row>
    <row r="442" spans="1:6">
      <c r="B442" s="143" t="s">
        <v>404</v>
      </c>
    </row>
    <row r="443" spans="1:6">
      <c r="B443" s="143" t="s">
        <v>394</v>
      </c>
    </row>
    <row r="444" spans="1:6">
      <c r="B444" s="143" t="s">
        <v>395</v>
      </c>
    </row>
    <row r="445" spans="1:6">
      <c r="B445" s="143" t="s">
        <v>313</v>
      </c>
    </row>
    <row r="446" spans="1:6">
      <c r="B446" s="143" t="s">
        <v>306</v>
      </c>
    </row>
    <row r="447" spans="1:6">
      <c r="B447" s="143" t="s">
        <v>274</v>
      </c>
    </row>
    <row r="448" spans="1:6" ht="30">
      <c r="B448" s="143" t="s">
        <v>407</v>
      </c>
    </row>
    <row r="449" spans="1:6" ht="60">
      <c r="B449" s="143" t="s">
        <v>450</v>
      </c>
    </row>
    <row r="450" spans="1:6" ht="30">
      <c r="B450" s="143" t="s">
        <v>273</v>
      </c>
    </row>
    <row r="451" spans="1:6">
      <c r="B451" s="143"/>
    </row>
    <row r="452" spans="1:6">
      <c r="A452" s="192">
        <v>6</v>
      </c>
      <c r="B452" s="143" t="s">
        <v>409</v>
      </c>
      <c r="C452" s="147" t="s">
        <v>10</v>
      </c>
      <c r="D452" s="146">
        <v>1</v>
      </c>
      <c r="F452" s="146">
        <f>+D452*E452</f>
        <v>0</v>
      </c>
    </row>
    <row r="453" spans="1:6">
      <c r="B453" s="143" t="s">
        <v>410</v>
      </c>
    </row>
    <row r="454" spans="1:6">
      <c r="B454" s="143" t="s">
        <v>394</v>
      </c>
    </row>
    <row r="455" spans="1:6">
      <c r="B455" s="143" t="s">
        <v>395</v>
      </c>
    </row>
    <row r="456" spans="1:6">
      <c r="B456" s="143" t="s">
        <v>313</v>
      </c>
    </row>
    <row r="457" spans="1:6">
      <c r="B457" s="143" t="s">
        <v>306</v>
      </c>
    </row>
    <row r="458" spans="1:6">
      <c r="B458" s="143" t="s">
        <v>274</v>
      </c>
    </row>
    <row r="459" spans="1:6" ht="30">
      <c r="B459" s="143" t="s">
        <v>411</v>
      </c>
    </row>
    <row r="460" spans="1:6" ht="60">
      <c r="B460" s="143" t="s">
        <v>450</v>
      </c>
    </row>
    <row r="461" spans="1:6" ht="30">
      <c r="B461" s="143" t="s">
        <v>273</v>
      </c>
    </row>
    <row r="462" spans="1:6" ht="30">
      <c r="B462" s="143" t="s">
        <v>273</v>
      </c>
    </row>
    <row r="463" spans="1:6">
      <c r="B463" s="143"/>
    </row>
    <row r="464" spans="1:6">
      <c r="B464" s="143"/>
    </row>
    <row r="465" spans="1:6">
      <c r="B465" s="207" t="s">
        <v>412</v>
      </c>
    </row>
    <row r="466" spans="1:6">
      <c r="B466" s="143" t="s">
        <v>456</v>
      </c>
    </row>
    <row r="467" spans="1:6">
      <c r="A467" s="192">
        <v>7</v>
      </c>
      <c r="B467" s="143" t="s">
        <v>413</v>
      </c>
      <c r="C467" s="147" t="s">
        <v>10</v>
      </c>
      <c r="D467" s="146">
        <v>2</v>
      </c>
    </row>
    <row r="468" spans="1:6">
      <c r="B468" s="143" t="s">
        <v>414</v>
      </c>
    </row>
    <row r="469" spans="1:6">
      <c r="B469" s="143" t="s">
        <v>307</v>
      </c>
    </row>
    <row r="470" spans="1:6">
      <c r="B470" s="143" t="s">
        <v>272</v>
      </c>
    </row>
    <row r="471" spans="1:6">
      <c r="B471" s="143" t="s">
        <v>415</v>
      </c>
    </row>
    <row r="472" spans="1:6">
      <c r="B472" s="143" t="s">
        <v>304</v>
      </c>
    </row>
    <row r="473" spans="1:6">
      <c r="B473" s="143" t="s">
        <v>274</v>
      </c>
    </row>
    <row r="474" spans="1:6">
      <c r="B474" s="143" t="s">
        <v>416</v>
      </c>
    </row>
    <row r="475" spans="1:6" ht="30">
      <c r="B475" s="143" t="s">
        <v>417</v>
      </c>
    </row>
    <row r="476" spans="1:6" ht="30">
      <c r="B476" s="143" t="s">
        <v>273</v>
      </c>
    </row>
    <row r="477" spans="1:6">
      <c r="B477" s="143"/>
    </row>
    <row r="478" spans="1:6">
      <c r="A478" s="192">
        <v>7</v>
      </c>
      <c r="B478" s="143" t="s">
        <v>419</v>
      </c>
      <c r="C478" s="147" t="s">
        <v>10</v>
      </c>
      <c r="D478" s="146">
        <v>1</v>
      </c>
      <c r="F478" s="146">
        <f>+D478*E478</f>
        <v>0</v>
      </c>
    </row>
    <row r="479" spans="1:6">
      <c r="B479" s="143" t="s">
        <v>420</v>
      </c>
    </row>
    <row r="480" spans="1:6">
      <c r="B480" s="143" t="s">
        <v>307</v>
      </c>
    </row>
    <row r="481" spans="1:4">
      <c r="B481" s="143" t="s">
        <v>272</v>
      </c>
    </row>
    <row r="482" spans="1:4">
      <c r="B482" s="143" t="s">
        <v>415</v>
      </c>
    </row>
    <row r="483" spans="1:4">
      <c r="B483" s="143" t="s">
        <v>304</v>
      </c>
    </row>
    <row r="484" spans="1:4">
      <c r="B484" s="143" t="s">
        <v>274</v>
      </c>
    </row>
    <row r="485" spans="1:4">
      <c r="B485" s="143" t="s">
        <v>416</v>
      </c>
    </row>
    <row r="486" spans="1:4" ht="30">
      <c r="B486" s="143" t="s">
        <v>417</v>
      </c>
    </row>
    <row r="487" spans="1:4" ht="30">
      <c r="B487" s="143" t="s">
        <v>273</v>
      </c>
    </row>
    <row r="490" spans="1:4">
      <c r="B490" s="207" t="s">
        <v>421</v>
      </c>
    </row>
    <row r="491" spans="1:4">
      <c r="B491" s="207"/>
    </row>
    <row r="492" spans="1:4">
      <c r="B492" s="209" t="s">
        <v>456</v>
      </c>
    </row>
    <row r="493" spans="1:4">
      <c r="A493" s="192">
        <v>8</v>
      </c>
      <c r="B493" s="143" t="s">
        <v>418</v>
      </c>
      <c r="C493" s="147" t="s">
        <v>10</v>
      </c>
      <c r="D493" s="146">
        <v>3</v>
      </c>
    </row>
    <row r="494" spans="1:4">
      <c r="B494" s="143" t="s">
        <v>423</v>
      </c>
    </row>
    <row r="495" spans="1:4">
      <c r="B495" s="143" t="s">
        <v>309</v>
      </c>
    </row>
    <row r="496" spans="1:4">
      <c r="B496" s="143" t="s">
        <v>272</v>
      </c>
    </row>
    <row r="497" spans="1:4">
      <c r="B497" s="143" t="s">
        <v>275</v>
      </c>
    </row>
    <row r="498" spans="1:4">
      <c r="B498" s="143" t="s">
        <v>304</v>
      </c>
    </row>
    <row r="499" spans="1:4">
      <c r="B499" s="143" t="s">
        <v>276</v>
      </c>
    </row>
    <row r="500" spans="1:4">
      <c r="B500" s="143" t="s">
        <v>308</v>
      </c>
    </row>
    <row r="501" spans="1:4" ht="30">
      <c r="B501" s="143" t="s">
        <v>425</v>
      </c>
    </row>
    <row r="502" spans="1:4" ht="30">
      <c r="B502" s="143" t="s">
        <v>273</v>
      </c>
    </row>
    <row r="503" spans="1:4">
      <c r="B503" s="143"/>
    </row>
    <row r="504" spans="1:4">
      <c r="B504" s="143" t="s">
        <v>456</v>
      </c>
    </row>
    <row r="505" spans="1:4">
      <c r="A505" s="192">
        <v>8</v>
      </c>
      <c r="B505" s="143" t="s">
        <v>422</v>
      </c>
      <c r="C505" s="147" t="s">
        <v>10</v>
      </c>
      <c r="D505" s="146">
        <v>3</v>
      </c>
    </row>
    <row r="506" spans="1:4">
      <c r="B506" s="143" t="s">
        <v>424</v>
      </c>
    </row>
    <row r="507" spans="1:4">
      <c r="B507" s="143" t="s">
        <v>309</v>
      </c>
    </row>
    <row r="508" spans="1:4">
      <c r="B508" s="143" t="s">
        <v>272</v>
      </c>
    </row>
    <row r="509" spans="1:4">
      <c r="B509" s="143" t="s">
        <v>275</v>
      </c>
    </row>
    <row r="510" spans="1:4">
      <c r="B510" s="143" t="s">
        <v>304</v>
      </c>
    </row>
    <row r="511" spans="1:4">
      <c r="B511" s="143" t="s">
        <v>276</v>
      </c>
    </row>
    <row r="512" spans="1:4">
      <c r="B512" s="143" t="s">
        <v>308</v>
      </c>
    </row>
    <row r="513" spans="1:6" ht="30">
      <c r="B513" s="143" t="s">
        <v>426</v>
      </c>
    </row>
    <row r="514" spans="1:6" ht="30">
      <c r="B514" s="143" t="s">
        <v>273</v>
      </c>
    </row>
    <row r="516" spans="1:6" ht="15.75" thickBot="1"/>
    <row r="517" spans="1:6">
      <c r="B517" s="198" t="s">
        <v>277</v>
      </c>
      <c r="C517" s="169"/>
      <c r="D517" s="170"/>
      <c r="E517" s="170"/>
      <c r="F517" s="199">
        <f>SUM(F407:F516)</f>
        <v>0</v>
      </c>
    </row>
    <row r="522" spans="1:6">
      <c r="A522" s="166" t="s">
        <v>30</v>
      </c>
      <c r="B522" s="196" t="s">
        <v>373</v>
      </c>
      <c r="C522" s="177"/>
      <c r="D522" s="177"/>
      <c r="E522" s="177"/>
      <c r="F522" s="177"/>
    </row>
    <row r="525" spans="1:6" ht="75">
      <c r="A525" s="192">
        <v>1</v>
      </c>
      <c r="B525" s="194" t="s">
        <v>441</v>
      </c>
      <c r="C525" s="147" t="s">
        <v>16</v>
      </c>
      <c r="D525" s="146">
        <v>11</v>
      </c>
      <c r="F525" s="146">
        <f>+E525*D525</f>
        <v>0</v>
      </c>
    </row>
    <row r="526" spans="1:6">
      <c r="B526" s="194"/>
    </row>
    <row r="527" spans="1:6" ht="60">
      <c r="A527" s="192">
        <v>2</v>
      </c>
      <c r="B527" s="194" t="s">
        <v>427</v>
      </c>
      <c r="C527" s="147" t="s">
        <v>16</v>
      </c>
      <c r="D527" s="146">
        <v>10</v>
      </c>
      <c r="F527" s="146">
        <f>+E527*D527</f>
        <v>0</v>
      </c>
    </row>
    <row r="528" spans="1:6">
      <c r="B528" s="194"/>
      <c r="F528" s="146">
        <f t="shared" ref="F528:F535" si="27">+E528*D528</f>
        <v>0</v>
      </c>
    </row>
    <row r="529" spans="1:6" ht="75">
      <c r="A529" s="192">
        <v>3</v>
      </c>
      <c r="B529" s="194" t="s">
        <v>429</v>
      </c>
      <c r="C529" s="147" t="s">
        <v>16</v>
      </c>
      <c r="D529" s="146">
        <v>1.7</v>
      </c>
      <c r="F529" s="146">
        <f t="shared" si="27"/>
        <v>0</v>
      </c>
    </row>
    <row r="530" spans="1:6">
      <c r="B530" s="204"/>
      <c r="F530" s="146">
        <f t="shared" si="27"/>
        <v>0</v>
      </c>
    </row>
    <row r="531" spans="1:6" ht="45">
      <c r="A531" s="192">
        <v>4</v>
      </c>
      <c r="B531" s="194" t="s">
        <v>428</v>
      </c>
      <c r="C531" s="147" t="s">
        <v>16</v>
      </c>
      <c r="D531" s="146">
        <v>0.6</v>
      </c>
      <c r="F531" s="146">
        <f t="shared" si="27"/>
        <v>0</v>
      </c>
    </row>
    <row r="532" spans="1:6">
      <c r="B532" s="204"/>
      <c r="F532" s="146">
        <f t="shared" si="27"/>
        <v>0</v>
      </c>
    </row>
    <row r="533" spans="1:6" ht="45">
      <c r="A533" s="192">
        <v>5</v>
      </c>
      <c r="B533" s="194" t="s">
        <v>431</v>
      </c>
      <c r="C533" s="147" t="s">
        <v>16</v>
      </c>
      <c r="D533" s="146">
        <v>1.7</v>
      </c>
      <c r="F533" s="146">
        <f t="shared" si="27"/>
        <v>0</v>
      </c>
    </row>
    <row r="534" spans="1:6">
      <c r="B534" s="204"/>
      <c r="F534" s="146">
        <f t="shared" si="27"/>
        <v>0</v>
      </c>
    </row>
    <row r="535" spans="1:6" ht="60">
      <c r="A535" s="192">
        <v>6</v>
      </c>
      <c r="B535" s="194" t="s">
        <v>430</v>
      </c>
      <c r="C535" s="147" t="s">
        <v>11</v>
      </c>
      <c r="D535" s="146">
        <v>9.5</v>
      </c>
      <c r="F535" s="146">
        <f t="shared" si="27"/>
        <v>0</v>
      </c>
    </row>
    <row r="536" spans="1:6" ht="15.75" thickBot="1"/>
    <row r="537" spans="1:6">
      <c r="B537" s="190" t="s">
        <v>374</v>
      </c>
      <c r="C537" s="169"/>
      <c r="D537" s="170"/>
      <c r="E537" s="170"/>
      <c r="F537" s="171">
        <f>SUM(F525:F536)</f>
        <v>0</v>
      </c>
    </row>
    <row r="538" spans="1:6">
      <c r="B538" s="193"/>
      <c r="F538" s="174"/>
    </row>
    <row r="540" spans="1:6">
      <c r="A540" s="166" t="s">
        <v>31</v>
      </c>
      <c r="B540" s="196" t="s">
        <v>440</v>
      </c>
      <c r="C540" s="177"/>
      <c r="D540" s="177"/>
      <c r="E540" s="177"/>
      <c r="F540" s="177"/>
    </row>
    <row r="543" spans="1:6" ht="60">
      <c r="A543" s="192">
        <v>1</v>
      </c>
      <c r="B543" s="194" t="s">
        <v>442</v>
      </c>
      <c r="C543" s="147" t="s">
        <v>16</v>
      </c>
      <c r="D543" s="146">
        <v>6</v>
      </c>
      <c r="F543" s="146">
        <f>+E543*D543</f>
        <v>0</v>
      </c>
    </row>
    <row r="544" spans="1:6" ht="15.75" thickBot="1"/>
    <row r="545" spans="2:6">
      <c r="B545" s="190" t="s">
        <v>443</v>
      </c>
      <c r="C545" s="169"/>
      <c r="D545" s="170"/>
      <c r="E545" s="170"/>
      <c r="F545" s="171">
        <f>SUM(F543:F543)</f>
        <v>0</v>
      </c>
    </row>
  </sheetData>
  <phoneticPr fontId="2" type="noConversion"/>
  <pageMargins left="0.7" right="0.7" top="0.75" bottom="0.75" header="0.3" footer="0.3"/>
  <pageSetup paperSize="9" scale="85" orientation="portrait" verticalDpi="1200" r:id="rId1"/>
  <rowBreaks count="1" manualBreakCount="1">
    <brk id="52"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sqref="A1:A9"/>
    </sheetView>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B5:Y255"/>
  <sheetViews>
    <sheetView topLeftCell="A118" zoomScale="70" zoomScaleNormal="70" workbookViewId="0">
      <selection activeCell="F208" sqref="F208"/>
    </sheetView>
  </sheetViews>
  <sheetFormatPr defaultRowHeight="15"/>
  <cols>
    <col min="2" max="2" width="4.42578125" customWidth="1"/>
    <col min="3" max="3" width="22.7109375" bestFit="1" customWidth="1"/>
    <col min="4" max="4" width="8.7109375" customWidth="1"/>
    <col min="6" max="6" width="9.140625" customWidth="1"/>
    <col min="13" max="15" width="11.7109375" customWidth="1"/>
  </cols>
  <sheetData>
    <row r="5" spans="2:6">
      <c r="B5" t="s">
        <v>5</v>
      </c>
      <c r="C5" t="s">
        <v>50</v>
      </c>
    </row>
    <row r="7" spans="2:6">
      <c r="D7" s="5" t="s">
        <v>52</v>
      </c>
      <c r="E7" s="5" t="s">
        <v>212</v>
      </c>
      <c r="F7" s="5" t="s">
        <v>137</v>
      </c>
    </row>
    <row r="8" spans="2:6">
      <c r="C8" t="s">
        <v>213</v>
      </c>
      <c r="D8" s="53">
        <v>77</v>
      </c>
      <c r="E8" s="53">
        <v>0.38</v>
      </c>
      <c r="F8" s="53">
        <f>+D8*E8</f>
        <v>29.26</v>
      </c>
    </row>
    <row r="9" spans="2:6">
      <c r="C9" t="s">
        <v>214</v>
      </c>
      <c r="D9" s="53"/>
      <c r="E9" s="53"/>
      <c r="F9" s="53"/>
    </row>
    <row r="10" spans="2:6">
      <c r="D10" s="53"/>
      <c r="E10" s="53"/>
      <c r="F10" s="53"/>
    </row>
    <row r="11" spans="2:6">
      <c r="D11" s="53"/>
      <c r="E11" s="53"/>
      <c r="F11" s="53"/>
    </row>
    <row r="12" spans="2:6">
      <c r="D12" s="53"/>
      <c r="E12" s="53"/>
      <c r="F12" s="53"/>
    </row>
    <row r="13" spans="2:6">
      <c r="D13" s="14" t="s">
        <v>53</v>
      </c>
      <c r="E13" s="5"/>
      <c r="F13" s="14">
        <f>SUM(F8:F12)</f>
        <v>29.26</v>
      </c>
    </row>
    <row r="16" spans="2:6">
      <c r="B16" s="21" t="s">
        <v>6</v>
      </c>
      <c r="C16" s="21" t="s">
        <v>55</v>
      </c>
    </row>
    <row r="17" spans="2:22" ht="15.75" thickBot="1"/>
    <row r="18" spans="2:22" ht="60.75" thickBot="1">
      <c r="D18" s="13" t="s">
        <v>54</v>
      </c>
      <c r="E18" s="13" t="s">
        <v>210</v>
      </c>
      <c r="F18" s="13" t="s">
        <v>211</v>
      </c>
      <c r="G18" s="14" t="s">
        <v>56</v>
      </c>
      <c r="H18" s="14" t="s">
        <v>58</v>
      </c>
      <c r="I18" s="128" t="s">
        <v>209</v>
      </c>
      <c r="J18" s="124" t="s">
        <v>63</v>
      </c>
      <c r="K18" s="129" t="s">
        <v>220</v>
      </c>
      <c r="L18" s="125" t="s">
        <v>219</v>
      </c>
      <c r="M18" s="129" t="s">
        <v>215</v>
      </c>
      <c r="N18" s="132" t="s">
        <v>216</v>
      </c>
      <c r="O18" s="124" t="s">
        <v>217</v>
      </c>
      <c r="P18" s="125" t="s">
        <v>61</v>
      </c>
      <c r="Q18" s="125" t="s">
        <v>218</v>
      </c>
      <c r="R18" s="124" t="s">
        <v>62</v>
      </c>
      <c r="S18" s="126" t="s">
        <v>221</v>
      </c>
      <c r="T18" s="127"/>
    </row>
    <row r="19" spans="2:22" ht="15.75" thickBot="1">
      <c r="D19" s="5">
        <v>35.799999999999997</v>
      </c>
      <c r="E19" s="5">
        <v>0.4</v>
      </c>
      <c r="F19" s="5">
        <v>0.6</v>
      </c>
      <c r="G19" s="5">
        <v>0.15</v>
      </c>
      <c r="H19" s="5">
        <v>0.08</v>
      </c>
      <c r="I19" s="8">
        <f>+F19*E19</f>
        <v>0.24</v>
      </c>
      <c r="J19" s="7">
        <f t="shared" ref="J19:J25" si="0">+D19*G19</f>
        <v>5.3699999999999992</v>
      </c>
      <c r="K19" s="130">
        <f>+(9.8+43.7)*0.3</f>
        <v>16.05</v>
      </c>
      <c r="L19" s="7">
        <f>+D19*0.6</f>
        <v>21.479999999999997</v>
      </c>
      <c r="M19" s="130">
        <f>0.1*D19</f>
        <v>3.58</v>
      </c>
      <c r="N19" s="133">
        <f>+D19*H19</f>
        <v>2.8639999999999999</v>
      </c>
      <c r="O19" s="7">
        <f t="shared" ref="O19:O25" si="1">+D19*I19</f>
        <v>8.5919999999999987</v>
      </c>
      <c r="P19" s="11">
        <f>0.5*0.1*D19</f>
        <v>1.79</v>
      </c>
      <c r="Q19" s="130">
        <f>+(9.8+43.7)</f>
        <v>53.5</v>
      </c>
      <c r="R19" s="11">
        <f>+D19*F19*2</f>
        <v>42.959999999999994</v>
      </c>
      <c r="S19" s="59">
        <f>70*1</f>
        <v>70</v>
      </c>
      <c r="T19" s="11"/>
    </row>
    <row r="20" spans="2:22" ht="15.75" thickBot="1">
      <c r="D20" s="5">
        <v>4.8</v>
      </c>
      <c r="E20" s="5">
        <v>0.4</v>
      </c>
      <c r="F20" s="5">
        <v>0.6</v>
      </c>
      <c r="G20" s="5">
        <v>0.15</v>
      </c>
      <c r="H20" s="5">
        <v>0.08</v>
      </c>
      <c r="I20" s="8">
        <f>+F20*E20</f>
        <v>0.24</v>
      </c>
      <c r="J20" s="7">
        <f t="shared" si="0"/>
        <v>0.72</v>
      </c>
      <c r="K20" s="130"/>
      <c r="L20" s="7">
        <f>+D20*0.6</f>
        <v>2.88</v>
      </c>
      <c r="M20" s="130">
        <f>0.1*D20</f>
        <v>0.48</v>
      </c>
      <c r="N20" s="133">
        <f t="shared" ref="N20:N22" si="2">+D20*H20</f>
        <v>0.38400000000000001</v>
      </c>
      <c r="O20" s="7">
        <f t="shared" si="1"/>
        <v>1.1519999999999999</v>
      </c>
      <c r="P20" s="11">
        <f>0.5*0.1*D20</f>
        <v>0.24</v>
      </c>
      <c r="Q20" s="11">
        <f>+C20*E20*2</f>
        <v>0</v>
      </c>
      <c r="R20" s="11">
        <f>+D20*F20*2</f>
        <v>5.76</v>
      </c>
      <c r="S20" s="59">
        <v>5.54</v>
      </c>
      <c r="T20" s="11"/>
    </row>
    <row r="21" spans="2:22" ht="15.75" thickBot="1">
      <c r="D21" s="5"/>
      <c r="E21" s="5"/>
      <c r="F21" s="5"/>
      <c r="G21" s="5"/>
      <c r="H21" s="5"/>
      <c r="I21" s="8"/>
      <c r="J21" s="7">
        <f t="shared" si="0"/>
        <v>0</v>
      </c>
      <c r="K21" s="130">
        <f>+D21*H21</f>
        <v>0</v>
      </c>
      <c r="L21" s="7">
        <f>+D21*0.9</f>
        <v>0</v>
      </c>
      <c r="M21" s="130"/>
      <c r="N21" s="133">
        <f t="shared" si="2"/>
        <v>0</v>
      </c>
      <c r="O21" s="7">
        <f t="shared" si="1"/>
        <v>0</v>
      </c>
      <c r="P21" s="11">
        <f>1*0.06*D21</f>
        <v>0</v>
      </c>
      <c r="Q21" s="11">
        <f t="shared" ref="Q21:R25" si="3">+C21*0.8*2</f>
        <v>0</v>
      </c>
      <c r="R21" s="11">
        <f t="shared" si="3"/>
        <v>0</v>
      </c>
      <c r="S21" s="59">
        <f>3.32*5.7</f>
        <v>18.923999999999999</v>
      </c>
      <c r="T21" s="11"/>
    </row>
    <row r="22" spans="2:22" ht="15.75" thickBot="1">
      <c r="D22" s="5"/>
      <c r="E22" s="5"/>
      <c r="F22" s="5"/>
      <c r="G22" s="5"/>
      <c r="H22" s="5"/>
      <c r="I22" s="8"/>
      <c r="J22" s="7">
        <f t="shared" si="0"/>
        <v>0</v>
      </c>
      <c r="K22" s="130">
        <f>+D22*H22</f>
        <v>0</v>
      </c>
      <c r="L22" s="7">
        <f>+D22*0.9</f>
        <v>0</v>
      </c>
      <c r="M22" s="130"/>
      <c r="N22" s="133">
        <f t="shared" si="2"/>
        <v>0</v>
      </c>
      <c r="O22" s="7">
        <f t="shared" si="1"/>
        <v>0</v>
      </c>
      <c r="P22" s="11">
        <f>1*0.06*D22</f>
        <v>0</v>
      </c>
      <c r="Q22" s="11">
        <f t="shared" si="3"/>
        <v>0</v>
      </c>
      <c r="R22" s="11">
        <f t="shared" si="3"/>
        <v>0</v>
      </c>
      <c r="S22" s="59"/>
      <c r="T22" s="11"/>
    </row>
    <row r="23" spans="2:22" ht="15.75" thickBot="1">
      <c r="D23" s="5"/>
      <c r="E23" s="5"/>
      <c r="F23" s="5"/>
      <c r="G23" s="5"/>
      <c r="H23" s="5"/>
      <c r="I23" s="8"/>
      <c r="J23" s="7">
        <f t="shared" si="0"/>
        <v>0</v>
      </c>
      <c r="K23" s="130">
        <f>+D23*H23</f>
        <v>0</v>
      </c>
      <c r="L23" s="7">
        <f>+D23*0.9</f>
        <v>0</v>
      </c>
      <c r="M23" s="130"/>
      <c r="N23" s="133"/>
      <c r="O23" s="7">
        <f t="shared" si="1"/>
        <v>0</v>
      </c>
      <c r="P23" s="11">
        <f>1*0.06*D23</f>
        <v>0</v>
      </c>
      <c r="Q23" s="11">
        <f t="shared" si="3"/>
        <v>0</v>
      </c>
      <c r="R23" s="11">
        <f t="shared" si="3"/>
        <v>0</v>
      </c>
      <c r="S23" s="59"/>
      <c r="T23" s="11"/>
    </row>
    <row r="24" spans="2:22" ht="15.75" thickBot="1">
      <c r="D24" s="5"/>
      <c r="E24" s="5"/>
      <c r="F24" s="5"/>
      <c r="G24" s="5"/>
      <c r="H24" s="5"/>
      <c r="I24" s="8"/>
      <c r="J24" s="7">
        <f t="shared" si="0"/>
        <v>0</v>
      </c>
      <c r="K24" s="130">
        <f>+D24*H24</f>
        <v>0</v>
      </c>
      <c r="L24" s="7">
        <f>+D24*0.9</f>
        <v>0</v>
      </c>
      <c r="M24" s="130"/>
      <c r="N24" s="133"/>
      <c r="O24" s="7">
        <f t="shared" si="1"/>
        <v>0</v>
      </c>
      <c r="P24" s="11">
        <f>1*0.06*D24</f>
        <v>0</v>
      </c>
      <c r="Q24" s="11">
        <f t="shared" si="3"/>
        <v>0</v>
      </c>
      <c r="R24" s="11">
        <f t="shared" si="3"/>
        <v>0</v>
      </c>
      <c r="S24" s="59"/>
      <c r="T24" s="11"/>
    </row>
    <row r="25" spans="2:22" ht="15.75" thickBot="1">
      <c r="D25" s="6"/>
      <c r="E25" s="6"/>
      <c r="F25" s="6"/>
      <c r="G25" s="6"/>
      <c r="H25" s="5"/>
      <c r="I25" s="8"/>
      <c r="J25" s="7">
        <f t="shared" si="0"/>
        <v>0</v>
      </c>
      <c r="K25" s="130">
        <f>+D25*H25</f>
        <v>0</v>
      </c>
      <c r="L25" s="7">
        <f>+D25*0.9</f>
        <v>0</v>
      </c>
      <c r="M25" s="130"/>
      <c r="N25" s="133"/>
      <c r="O25" s="7">
        <f t="shared" si="1"/>
        <v>0</v>
      </c>
      <c r="P25" s="11">
        <f>1*0.06*D25</f>
        <v>0</v>
      </c>
      <c r="Q25" s="11">
        <f t="shared" si="3"/>
        <v>0</v>
      </c>
      <c r="R25" s="11">
        <f t="shared" si="3"/>
        <v>0</v>
      </c>
      <c r="S25" s="59"/>
      <c r="T25" s="11"/>
    </row>
    <row r="26" spans="2:22" ht="15.75" thickBot="1">
      <c r="C26" s="10" t="s">
        <v>59</v>
      </c>
      <c r="D26" s="7">
        <f>SUM(D19:D25)</f>
        <v>40.599999999999994</v>
      </c>
      <c r="E26" s="7"/>
      <c r="F26" s="7"/>
      <c r="G26" s="7"/>
      <c r="H26" s="7"/>
      <c r="I26" s="9"/>
      <c r="J26" s="10">
        <f>SUM(J19:J25)</f>
        <v>6.089999999999999</v>
      </c>
      <c r="K26" s="131">
        <f>SUM(K19:K25)</f>
        <v>16.05</v>
      </c>
      <c r="L26" s="10">
        <f t="shared" ref="L26:M26" si="4">SUM(L19:L25)</f>
        <v>24.359999999999996</v>
      </c>
      <c r="M26" s="131">
        <f t="shared" si="4"/>
        <v>4.0600000000000005</v>
      </c>
      <c r="N26" s="134">
        <f t="shared" ref="N26:S26" si="5">SUM(N19:N25)</f>
        <v>3.2479999999999998</v>
      </c>
      <c r="O26" s="10">
        <f t="shared" si="5"/>
        <v>9.743999999999998</v>
      </c>
      <c r="P26" s="12">
        <f t="shared" si="5"/>
        <v>2.0300000000000002</v>
      </c>
      <c r="Q26" s="60">
        <f t="shared" si="5"/>
        <v>53.5</v>
      </c>
      <c r="R26" s="60">
        <f t="shared" si="5"/>
        <v>48.719999999999992</v>
      </c>
      <c r="S26" s="60">
        <f t="shared" si="5"/>
        <v>94.463999999999999</v>
      </c>
      <c r="T26" s="11"/>
    </row>
    <row r="28" spans="2:22">
      <c r="K28">
        <f>+K26+M26</f>
        <v>20.11</v>
      </c>
    </row>
    <row r="29" spans="2:22">
      <c r="B29" s="21" t="s">
        <v>7</v>
      </c>
      <c r="C29" s="21" t="s">
        <v>222</v>
      </c>
      <c r="D29" s="21"/>
    </row>
    <row r="30" spans="2:22" ht="15.75" thickBot="1">
      <c r="B30" s="21"/>
      <c r="C30" s="21"/>
      <c r="D30" s="21"/>
    </row>
    <row r="31" spans="2:22" ht="15.75" thickBot="1">
      <c r="D31" s="15" t="s">
        <v>54</v>
      </c>
      <c r="E31" s="16" t="s">
        <v>48</v>
      </c>
      <c r="F31" s="16" t="s">
        <v>102</v>
      </c>
      <c r="G31" s="17" t="s">
        <v>57</v>
      </c>
      <c r="H31" s="136" t="s">
        <v>60</v>
      </c>
      <c r="I31" s="19" t="s">
        <v>107</v>
      </c>
      <c r="J31" s="18"/>
      <c r="K31" s="18"/>
      <c r="L31" s="18"/>
      <c r="M31" s="18"/>
      <c r="N31" s="18"/>
      <c r="O31" s="18"/>
      <c r="P31" s="22" t="s">
        <v>62</v>
      </c>
      <c r="Q31" s="20"/>
      <c r="R31" s="20"/>
      <c r="T31">
        <v>1.2</v>
      </c>
      <c r="U31">
        <v>0.8</v>
      </c>
      <c r="V31">
        <f>+T31*U31</f>
        <v>0.96</v>
      </c>
    </row>
    <row r="32" spans="2:22" ht="15.75" thickBot="1">
      <c r="D32" s="16">
        <v>21.92</v>
      </c>
      <c r="E32" s="16">
        <v>2.9</v>
      </c>
      <c r="F32" s="16">
        <v>0.2</v>
      </c>
      <c r="G32" s="17">
        <f>+E32*F32</f>
        <v>0.57999999999999996</v>
      </c>
      <c r="H32" s="12">
        <f>+D32*G32</f>
        <v>12.7136</v>
      </c>
      <c r="I32" s="10">
        <f>+D32*E32*2</f>
        <v>127.13600000000001</v>
      </c>
      <c r="J32" s="10"/>
      <c r="K32" s="10"/>
      <c r="L32" s="10"/>
      <c r="M32" s="10"/>
      <c r="N32" s="10"/>
      <c r="O32" s="10"/>
      <c r="P32" s="10"/>
      <c r="Q32" s="10"/>
      <c r="R32" s="10"/>
    </row>
    <row r="33" spans="2:25" ht="15.75" thickBot="1">
      <c r="D33" s="16"/>
      <c r="E33" s="16"/>
      <c r="F33" s="16"/>
      <c r="G33" s="17"/>
      <c r="H33" s="12"/>
      <c r="I33" s="10"/>
      <c r="J33" s="10"/>
      <c r="K33" s="10"/>
      <c r="L33" s="10"/>
      <c r="M33" s="10"/>
      <c r="N33" s="10"/>
      <c r="O33" s="10"/>
      <c r="P33" s="10"/>
      <c r="Q33" s="10"/>
      <c r="R33" s="10"/>
    </row>
    <row r="34" spans="2:25" ht="15.75" thickBot="1">
      <c r="D34" s="16"/>
      <c r="E34" s="16"/>
      <c r="F34" s="16"/>
      <c r="G34" s="17"/>
      <c r="H34" s="12"/>
      <c r="I34" s="10"/>
      <c r="J34" s="10"/>
      <c r="K34" s="10"/>
      <c r="L34" s="10"/>
      <c r="M34" s="10"/>
      <c r="N34" s="10"/>
      <c r="O34" s="10"/>
      <c r="P34" s="10"/>
      <c r="Q34" s="10"/>
      <c r="R34" s="10"/>
    </row>
    <row r="35" spans="2:25" ht="15.75" thickBot="1">
      <c r="D35" s="10" t="s">
        <v>59</v>
      </c>
      <c r="E35" s="7"/>
      <c r="F35" s="7"/>
      <c r="G35" s="7"/>
      <c r="H35" s="137">
        <f>SUM(H32:H34)</f>
        <v>12.7136</v>
      </c>
      <c r="I35" s="137">
        <f>SUM(I32:I34)</f>
        <v>127.13600000000001</v>
      </c>
      <c r="J35" s="7"/>
      <c r="K35" s="7"/>
      <c r="L35" s="7"/>
      <c r="M35" s="7"/>
      <c r="N35" s="7"/>
      <c r="O35" s="7"/>
      <c r="P35" s="7"/>
      <c r="Q35" s="7"/>
      <c r="R35" s="7"/>
    </row>
    <row r="38" spans="2:25">
      <c r="B38" s="21" t="s">
        <v>8</v>
      </c>
      <c r="C38" s="21" t="s">
        <v>227</v>
      </c>
      <c r="D38" s="21"/>
      <c r="E38" s="21"/>
    </row>
    <row r="39" spans="2:25" ht="15.75" thickBot="1">
      <c r="B39" s="21"/>
      <c r="C39" s="21"/>
      <c r="D39" s="21"/>
      <c r="E39" s="21"/>
      <c r="U39" t="s">
        <v>70</v>
      </c>
    </row>
    <row r="40" spans="2:25">
      <c r="D40" s="15" t="s">
        <v>54</v>
      </c>
      <c r="E40" s="16" t="s">
        <v>102</v>
      </c>
      <c r="F40" s="16" t="s">
        <v>223</v>
      </c>
      <c r="G40" s="17" t="s">
        <v>230</v>
      </c>
      <c r="H40" s="18" t="s">
        <v>224</v>
      </c>
      <c r="I40" s="19" t="s">
        <v>225</v>
      </c>
      <c r="J40" s="19" t="s">
        <v>226</v>
      </c>
      <c r="K40" s="18"/>
      <c r="L40" s="18" t="s">
        <v>60</v>
      </c>
      <c r="M40" s="18" t="s">
        <v>61</v>
      </c>
      <c r="N40" s="18"/>
      <c r="O40" s="18"/>
      <c r="P40" s="22" t="s">
        <v>62</v>
      </c>
      <c r="Q40" s="20"/>
      <c r="R40" s="20"/>
      <c r="T40" s="5"/>
      <c r="U40" s="5" t="s">
        <v>52</v>
      </c>
      <c r="V40" s="5"/>
      <c r="W40" s="5"/>
      <c r="X40" s="5"/>
      <c r="Y40" s="5" t="s">
        <v>67</v>
      </c>
    </row>
    <row r="41" spans="2:25" ht="30">
      <c r="C41" s="5" t="s">
        <v>228</v>
      </c>
      <c r="D41" s="16"/>
      <c r="E41" s="16"/>
      <c r="F41" s="16">
        <v>106</v>
      </c>
      <c r="G41" s="16">
        <f>+F41</f>
        <v>106</v>
      </c>
      <c r="H41" s="16">
        <f>+F41*0.2</f>
        <v>21.200000000000003</v>
      </c>
      <c r="I41" s="16">
        <f>+G41-4.26-1.6</f>
        <v>100.14</v>
      </c>
      <c r="J41" s="16">
        <v>40</v>
      </c>
      <c r="K41" s="16"/>
      <c r="L41" s="16">
        <f>+D41*1.2*0.8</f>
        <v>0</v>
      </c>
      <c r="M41" s="16">
        <f>+D41*1.4*0.06</f>
        <v>0</v>
      </c>
      <c r="N41" s="16"/>
      <c r="O41" s="16"/>
      <c r="P41" s="16"/>
      <c r="Q41" s="16"/>
      <c r="R41" s="16"/>
      <c r="T41" s="44" t="s">
        <v>71</v>
      </c>
      <c r="U41" s="5">
        <v>1.93</v>
      </c>
      <c r="V41" s="5">
        <v>13</v>
      </c>
      <c r="W41" s="5">
        <v>9</v>
      </c>
      <c r="X41" s="5">
        <v>9</v>
      </c>
      <c r="Y41" s="14">
        <f>+U41*(V41+W41+X41)</f>
        <v>59.83</v>
      </c>
    </row>
    <row r="42" spans="2:25" ht="15.75" thickBot="1">
      <c r="C42" s="5" t="s">
        <v>229</v>
      </c>
      <c r="D42" s="16">
        <v>37.799999999999997</v>
      </c>
      <c r="E42" s="16"/>
      <c r="F42" s="16">
        <f>0.2*0.45</f>
        <v>9.0000000000000011E-2</v>
      </c>
      <c r="G42" s="16"/>
      <c r="H42" s="16">
        <f>+D42*F42</f>
        <v>3.4020000000000001</v>
      </c>
      <c r="I42" s="16"/>
      <c r="J42" s="16"/>
      <c r="K42" s="16"/>
      <c r="L42" s="16">
        <f>+D42*1.2*0.8</f>
        <v>36.287999999999997</v>
      </c>
      <c r="M42" s="16">
        <f>+D42*1.4*0.06</f>
        <v>3.1751999999999994</v>
      </c>
      <c r="N42" s="16"/>
      <c r="O42" s="16"/>
      <c r="P42" s="16"/>
      <c r="Q42" s="16"/>
      <c r="R42" s="16"/>
      <c r="T42" s="44"/>
      <c r="U42" s="5"/>
      <c r="V42" s="5"/>
      <c r="W42" s="5"/>
      <c r="X42" s="5"/>
      <c r="Y42" s="14"/>
    </row>
    <row r="43" spans="2:25" ht="15.75" thickBot="1">
      <c r="D43" s="10" t="s">
        <v>59</v>
      </c>
      <c r="E43" s="7"/>
      <c r="F43" s="7"/>
      <c r="G43" s="7"/>
      <c r="H43" s="7"/>
      <c r="I43" s="7"/>
      <c r="J43" s="7"/>
      <c r="K43" s="7"/>
      <c r="L43" s="7"/>
      <c r="M43" s="7"/>
      <c r="N43" s="7"/>
      <c r="O43" s="7"/>
      <c r="P43" s="7"/>
      <c r="Q43" s="7"/>
      <c r="R43" s="7"/>
      <c r="T43" s="44" t="s">
        <v>72</v>
      </c>
      <c r="U43" s="45">
        <v>0.5</v>
      </c>
      <c r="V43" s="5">
        <v>13</v>
      </c>
      <c r="W43" s="5">
        <v>9</v>
      </c>
      <c r="X43" s="5">
        <v>9</v>
      </c>
      <c r="Y43" s="14">
        <f>+U43*(V43+W43+X43)</f>
        <v>15.5</v>
      </c>
    </row>
    <row r="44" spans="2:25" ht="15.75" thickBot="1"/>
    <row r="45" spans="2:25" ht="15.75" thickBot="1">
      <c r="C45" s="10" t="s">
        <v>64</v>
      </c>
      <c r="D45" s="10"/>
      <c r="E45" s="10"/>
      <c r="F45" s="10"/>
      <c r="G45" s="10"/>
      <c r="H45" s="10"/>
      <c r="I45" s="10">
        <f t="shared" ref="I45:R45" si="6">+I32+I41</f>
        <v>227.27600000000001</v>
      </c>
      <c r="J45" s="10">
        <f t="shared" si="6"/>
        <v>40</v>
      </c>
      <c r="K45" s="10">
        <f>+L32+K41</f>
        <v>0</v>
      </c>
      <c r="L45" s="10">
        <f>+H32+L41</f>
        <v>12.7136</v>
      </c>
      <c r="M45" s="10">
        <f t="shared" si="6"/>
        <v>0</v>
      </c>
      <c r="N45" s="10"/>
      <c r="O45" s="10"/>
      <c r="P45" s="10">
        <f t="shared" si="6"/>
        <v>0</v>
      </c>
      <c r="Q45" s="10">
        <f t="shared" si="6"/>
        <v>0</v>
      </c>
      <c r="R45" s="10">
        <f t="shared" si="6"/>
        <v>0</v>
      </c>
    </row>
    <row r="47" spans="2:25">
      <c r="M47" s="2"/>
      <c r="N47" s="2"/>
      <c r="O47" s="2"/>
    </row>
    <row r="48" spans="2:25">
      <c r="B48" s="21" t="s">
        <v>9</v>
      </c>
      <c r="C48" s="21" t="s">
        <v>65</v>
      </c>
    </row>
    <row r="49" spans="3:18" ht="15.75" thickBot="1"/>
    <row r="50" spans="3:18" ht="45.75" thickBot="1">
      <c r="D50" s="23" t="s">
        <v>66</v>
      </c>
      <c r="E50" s="23" t="s">
        <v>68</v>
      </c>
      <c r="F50" s="23"/>
      <c r="G50" s="40"/>
      <c r="H50" s="23" t="s">
        <v>69</v>
      </c>
      <c r="I50" s="23" t="s">
        <v>73</v>
      </c>
      <c r="J50" s="61" t="s">
        <v>127</v>
      </c>
      <c r="K50" s="23"/>
      <c r="L50" s="23"/>
      <c r="M50" s="23"/>
      <c r="N50" s="23"/>
      <c r="O50" s="23"/>
      <c r="P50" s="23"/>
      <c r="Q50" s="23"/>
      <c r="R50" s="23"/>
    </row>
    <row r="51" spans="3:18" ht="15.75" thickBot="1">
      <c r="D51" s="24"/>
      <c r="E51" s="25"/>
      <c r="F51" s="25"/>
      <c r="G51" s="41"/>
      <c r="H51" s="24">
        <f>+D51*E51</f>
        <v>0</v>
      </c>
      <c r="I51" s="25">
        <f>+D51*0.1</f>
        <v>0</v>
      </c>
      <c r="J51" s="62"/>
      <c r="K51" s="25"/>
      <c r="L51" s="25"/>
      <c r="M51" s="25"/>
      <c r="N51" s="25"/>
      <c r="O51" s="25"/>
      <c r="P51" s="25"/>
      <c r="Q51" s="25"/>
      <c r="R51" s="26"/>
    </row>
    <row r="52" spans="3:18" ht="15.75" thickBot="1">
      <c r="D52" s="27"/>
      <c r="E52" s="5"/>
      <c r="F52" s="5"/>
      <c r="G52" s="8"/>
      <c r="H52" s="24">
        <f t="shared" ref="H52:H59" si="7">+D52*E52</f>
        <v>0</v>
      </c>
      <c r="I52" s="25">
        <f t="shared" ref="I52:I59" si="8">+D52*0.1</f>
        <v>0</v>
      </c>
      <c r="J52" s="63"/>
      <c r="K52" s="5"/>
      <c r="L52" s="5"/>
      <c r="M52" s="5"/>
      <c r="N52" s="5"/>
      <c r="O52" s="5"/>
      <c r="P52" s="5"/>
      <c r="Q52" s="5"/>
      <c r="R52" s="28"/>
    </row>
    <row r="53" spans="3:18" ht="15.75" thickBot="1">
      <c r="D53" s="27"/>
      <c r="E53" s="5"/>
      <c r="F53" s="5"/>
      <c r="G53" s="8"/>
      <c r="H53" s="24">
        <f t="shared" si="7"/>
        <v>0</v>
      </c>
      <c r="I53" s="25">
        <f t="shared" si="8"/>
        <v>0</v>
      </c>
      <c r="J53" s="63"/>
      <c r="K53" s="5"/>
      <c r="L53" s="5"/>
      <c r="M53" s="5"/>
      <c r="N53" s="5"/>
      <c r="O53" s="5"/>
      <c r="P53" s="5"/>
      <c r="Q53" s="5"/>
      <c r="R53" s="28"/>
    </row>
    <row r="54" spans="3:18" ht="15.75" thickBot="1">
      <c r="D54" s="27"/>
      <c r="E54" s="5"/>
      <c r="F54" s="5"/>
      <c r="G54" s="8"/>
      <c r="H54" s="24">
        <f t="shared" si="7"/>
        <v>0</v>
      </c>
      <c r="I54" s="25">
        <f t="shared" si="8"/>
        <v>0</v>
      </c>
      <c r="J54" s="63"/>
      <c r="K54" s="5"/>
      <c r="L54" s="5"/>
      <c r="M54" s="5"/>
      <c r="N54" s="5"/>
      <c r="O54" s="5"/>
      <c r="P54" s="5"/>
      <c r="Q54" s="5"/>
      <c r="R54" s="28"/>
    </row>
    <row r="55" spans="3:18" ht="15.75" thickBot="1">
      <c r="D55" s="27"/>
      <c r="E55" s="5"/>
      <c r="F55" s="5"/>
      <c r="G55" s="8"/>
      <c r="H55" s="24">
        <f t="shared" si="7"/>
        <v>0</v>
      </c>
      <c r="I55" s="25">
        <f t="shared" si="8"/>
        <v>0</v>
      </c>
      <c r="J55" s="63"/>
      <c r="K55" s="5"/>
      <c r="L55" s="5"/>
      <c r="M55" s="5"/>
      <c r="N55" s="5"/>
      <c r="O55" s="5"/>
      <c r="P55" s="5"/>
      <c r="Q55" s="5"/>
      <c r="R55" s="28"/>
    </row>
    <row r="56" spans="3:18" ht="15.75" thickBot="1">
      <c r="D56" s="27"/>
      <c r="E56" s="5"/>
      <c r="F56" s="5"/>
      <c r="G56" s="8"/>
      <c r="H56" s="24">
        <f t="shared" si="7"/>
        <v>0</v>
      </c>
      <c r="I56" s="25">
        <f t="shared" si="8"/>
        <v>0</v>
      </c>
      <c r="J56" s="63"/>
      <c r="K56" s="5"/>
      <c r="L56" s="5"/>
      <c r="M56" s="5"/>
      <c r="N56" s="5"/>
      <c r="O56" s="5"/>
      <c r="P56" s="5"/>
      <c r="Q56" s="5"/>
      <c r="R56" s="28"/>
    </row>
    <row r="57" spans="3:18" ht="15.75" thickBot="1">
      <c r="D57" s="27"/>
      <c r="E57" s="5"/>
      <c r="F57" s="5"/>
      <c r="G57" s="8"/>
      <c r="H57" s="24">
        <f t="shared" si="7"/>
        <v>0</v>
      </c>
      <c r="I57" s="25">
        <f t="shared" si="8"/>
        <v>0</v>
      </c>
      <c r="J57" s="63"/>
      <c r="K57" s="5"/>
      <c r="L57" s="5"/>
      <c r="M57" s="5"/>
      <c r="N57" s="5"/>
      <c r="O57" s="5"/>
      <c r="P57" s="5"/>
      <c r="Q57" s="5"/>
      <c r="R57" s="28"/>
    </row>
    <row r="58" spans="3:18" ht="15.75" thickBot="1">
      <c r="D58" s="27"/>
      <c r="E58" s="5"/>
      <c r="F58" s="5"/>
      <c r="G58" s="8"/>
      <c r="H58" s="24">
        <f t="shared" si="7"/>
        <v>0</v>
      </c>
      <c r="I58" s="25">
        <f t="shared" si="8"/>
        <v>0</v>
      </c>
      <c r="J58" s="63"/>
      <c r="K58" s="5"/>
      <c r="L58" s="5"/>
      <c r="M58" s="5"/>
      <c r="N58" s="5"/>
      <c r="O58" s="5"/>
      <c r="P58" s="5"/>
      <c r="Q58" s="5"/>
      <c r="R58" s="28"/>
    </row>
    <row r="59" spans="3:18">
      <c r="D59" s="37"/>
      <c r="E59" s="38"/>
      <c r="F59" s="38"/>
      <c r="G59" s="42"/>
      <c r="H59" s="24">
        <f t="shared" si="7"/>
        <v>0</v>
      </c>
      <c r="I59" s="25">
        <f t="shared" si="8"/>
        <v>0</v>
      </c>
      <c r="J59" s="64"/>
      <c r="K59" s="38"/>
      <c r="L59" s="38"/>
      <c r="M59" s="38"/>
      <c r="N59" s="38"/>
      <c r="O59" s="38"/>
      <c r="P59" s="38"/>
      <c r="Q59" s="38"/>
      <c r="R59" s="39"/>
    </row>
    <row r="60" spans="3:18" ht="15.75" thickBot="1">
      <c r="D60" s="37"/>
      <c r="E60" s="38"/>
      <c r="F60" s="38"/>
      <c r="G60" s="42"/>
      <c r="H60" s="43"/>
      <c r="I60" s="38"/>
      <c r="J60" s="64"/>
      <c r="K60" s="38"/>
      <c r="L60" s="38"/>
      <c r="M60" s="38"/>
      <c r="N60" s="38"/>
      <c r="O60" s="38"/>
      <c r="P60" s="38"/>
      <c r="Q60" s="38"/>
      <c r="R60" s="39"/>
    </row>
    <row r="61" spans="3:18" ht="15.75" thickBot="1">
      <c r="C61" s="7" t="s">
        <v>67</v>
      </c>
      <c r="D61" s="34">
        <f>SUM(D51:D60)</f>
        <v>0</v>
      </c>
      <c r="E61" s="35"/>
      <c r="F61" s="35"/>
      <c r="G61" s="35"/>
      <c r="H61" s="58">
        <f>SUM(H51:H60)</f>
        <v>0</v>
      </c>
      <c r="I61" s="58">
        <f>SUM(I51:I60)</f>
        <v>0</v>
      </c>
      <c r="J61" s="65">
        <f>+D61</f>
        <v>0</v>
      </c>
      <c r="K61" s="35"/>
      <c r="L61" s="35"/>
      <c r="M61" s="35"/>
      <c r="N61" s="35"/>
      <c r="O61" s="35"/>
      <c r="P61" s="35"/>
      <c r="Q61" s="35"/>
      <c r="R61" s="36"/>
    </row>
    <row r="63" spans="3:18">
      <c r="J63" s="2">
        <f>+S26+J61</f>
        <v>94.463999999999999</v>
      </c>
    </row>
    <row r="64" spans="3:18" ht="15.75" thickBot="1"/>
    <row r="65" spans="2:18">
      <c r="B65" s="21" t="s">
        <v>9</v>
      </c>
      <c r="C65" s="21" t="s">
        <v>74</v>
      </c>
      <c r="F65" s="25"/>
    </row>
    <row r="66" spans="2:18" ht="15.75" thickBot="1"/>
    <row r="67" spans="2:18" ht="30.75" thickBot="1">
      <c r="C67" s="10" t="s">
        <v>79</v>
      </c>
      <c r="D67" s="23" t="s">
        <v>76</v>
      </c>
      <c r="E67" s="23" t="s">
        <v>80</v>
      </c>
      <c r="F67" s="23" t="s">
        <v>81</v>
      </c>
      <c r="G67" s="68" t="s">
        <v>128</v>
      </c>
      <c r="H67" s="23" t="s">
        <v>107</v>
      </c>
      <c r="I67" s="23"/>
      <c r="J67" s="23"/>
      <c r="K67" s="23"/>
      <c r="L67" s="23"/>
      <c r="M67" s="23"/>
      <c r="N67" s="23"/>
      <c r="O67" s="23"/>
      <c r="P67" s="23"/>
      <c r="Q67" s="23"/>
      <c r="R67" s="23"/>
    </row>
    <row r="68" spans="2:18" ht="26.25" customHeight="1" thickBot="1">
      <c r="C68" s="7" t="s">
        <v>75</v>
      </c>
      <c r="D68" s="24"/>
      <c r="E68" s="25"/>
      <c r="F68" s="25">
        <f>+D68*E68</f>
        <v>0</v>
      </c>
      <c r="G68" s="62">
        <f>+D68</f>
        <v>0</v>
      </c>
      <c r="H68" s="25">
        <f>+D68*2</f>
        <v>0</v>
      </c>
      <c r="I68" s="25"/>
      <c r="J68" s="25"/>
      <c r="K68" s="25"/>
      <c r="L68" s="25"/>
      <c r="M68" s="25"/>
      <c r="N68" s="25"/>
      <c r="O68" s="25"/>
      <c r="P68" s="25"/>
      <c r="Q68" s="25"/>
      <c r="R68" s="26"/>
    </row>
    <row r="69" spans="2:18" ht="15.75" thickBot="1">
      <c r="C69" s="23" t="s">
        <v>77</v>
      </c>
      <c r="D69" s="27"/>
      <c r="E69" s="5"/>
      <c r="F69" s="5">
        <f>+D69*E69</f>
        <v>0</v>
      </c>
      <c r="G69" s="63"/>
      <c r="H69" s="25">
        <f t="shared" ref="H69:H70" si="9">+D69*2</f>
        <v>0</v>
      </c>
      <c r="I69" s="5"/>
      <c r="J69" s="5"/>
      <c r="K69" s="5"/>
      <c r="L69" s="5"/>
      <c r="M69" s="5"/>
      <c r="N69" s="5"/>
      <c r="O69" s="5"/>
      <c r="P69" s="5"/>
      <c r="Q69" s="5"/>
      <c r="R69" s="28"/>
    </row>
    <row r="70" spans="2:18" ht="15.75" thickBot="1">
      <c r="C70" s="23" t="s">
        <v>78</v>
      </c>
      <c r="D70" s="32"/>
      <c r="E70" s="6"/>
      <c r="F70" s="5">
        <f>+D70*E70</f>
        <v>0</v>
      </c>
      <c r="G70" s="66"/>
      <c r="H70" s="25">
        <f t="shared" si="9"/>
        <v>0</v>
      </c>
      <c r="I70" s="6"/>
      <c r="J70" s="6"/>
      <c r="K70" s="6"/>
      <c r="L70" s="6"/>
      <c r="M70" s="6"/>
      <c r="N70" s="6"/>
      <c r="O70" s="6"/>
      <c r="P70" s="6"/>
      <c r="Q70" s="6"/>
      <c r="R70" s="33"/>
    </row>
    <row r="71" spans="2:18" ht="15.75" thickBot="1">
      <c r="C71" s="1"/>
      <c r="D71" s="7"/>
      <c r="E71" s="7"/>
      <c r="F71" s="7"/>
      <c r="G71" s="67">
        <f>SUM(G68:G70)</f>
        <v>0</v>
      </c>
      <c r="H71" s="7"/>
      <c r="I71" s="7"/>
      <c r="J71" s="7"/>
      <c r="K71" s="7"/>
      <c r="L71" s="7"/>
      <c r="M71" s="7"/>
      <c r="N71" s="7"/>
      <c r="O71" s="7"/>
      <c r="P71" s="7"/>
      <c r="Q71" s="7"/>
      <c r="R71" s="7"/>
    </row>
    <row r="72" spans="2:18">
      <c r="C72" s="1"/>
    </row>
    <row r="73" spans="2:18">
      <c r="C73" s="1"/>
    </row>
    <row r="74" spans="2:18">
      <c r="B74" t="s">
        <v>12</v>
      </c>
      <c r="C74" t="s">
        <v>82</v>
      </c>
    </row>
    <row r="75" spans="2:18" ht="15.75" thickBot="1"/>
    <row r="76" spans="2:18" ht="30.75" thickBot="1">
      <c r="C76" s="10" t="s">
        <v>79</v>
      </c>
      <c r="D76" s="23" t="s">
        <v>83</v>
      </c>
      <c r="E76" s="23" t="s">
        <v>80</v>
      </c>
      <c r="F76" s="23" t="s">
        <v>87</v>
      </c>
      <c r="G76" s="40"/>
      <c r="H76" s="23"/>
      <c r="I76" s="23"/>
      <c r="J76" s="23"/>
      <c r="K76" s="23"/>
      <c r="L76" s="23"/>
      <c r="M76" s="23"/>
      <c r="N76" s="23"/>
      <c r="O76" s="23"/>
      <c r="P76" s="23"/>
      <c r="Q76" s="23"/>
      <c r="R76" s="23"/>
    </row>
    <row r="77" spans="2:18">
      <c r="C77" s="47" t="s">
        <v>84</v>
      </c>
      <c r="D77" s="25"/>
      <c r="E77" s="25"/>
      <c r="F77" s="25">
        <f>+D77*E77</f>
        <v>0</v>
      </c>
      <c r="G77" s="25"/>
      <c r="H77" s="25"/>
      <c r="I77" s="25"/>
      <c r="J77" s="25"/>
      <c r="K77" s="25"/>
      <c r="L77" s="25"/>
      <c r="M77" s="25"/>
      <c r="N77" s="25"/>
      <c r="O77" s="25"/>
      <c r="P77" s="25"/>
      <c r="Q77" s="25"/>
      <c r="R77" s="26"/>
    </row>
    <row r="78" spans="2:18">
      <c r="C78" s="121"/>
      <c r="D78" s="122"/>
      <c r="E78" s="122"/>
      <c r="F78" s="122"/>
      <c r="G78" s="122"/>
      <c r="H78" s="122"/>
      <c r="I78" s="122"/>
      <c r="J78" s="122"/>
      <c r="K78" s="122"/>
      <c r="L78" s="122"/>
      <c r="M78" s="122"/>
      <c r="N78" s="122"/>
      <c r="O78" s="122"/>
      <c r="P78" s="122"/>
      <c r="Q78" s="122"/>
      <c r="R78" s="123"/>
    </row>
    <row r="79" spans="2:18">
      <c r="C79" s="48" t="s">
        <v>85</v>
      </c>
      <c r="D79" s="5"/>
      <c r="E79" s="5"/>
      <c r="F79" s="5">
        <f>+D79*E79</f>
        <v>0</v>
      </c>
      <c r="G79" s="5"/>
      <c r="H79" s="5"/>
      <c r="I79" s="5"/>
      <c r="J79" s="5"/>
      <c r="K79" s="5"/>
      <c r="L79" s="5"/>
      <c r="M79" s="5"/>
      <c r="N79" s="5"/>
      <c r="O79" s="5"/>
      <c r="P79" s="5"/>
      <c r="Q79" s="5"/>
      <c r="R79" s="28"/>
    </row>
    <row r="80" spans="2:18">
      <c r="C80" s="48" t="s">
        <v>86</v>
      </c>
      <c r="D80" s="5"/>
      <c r="E80" s="5"/>
      <c r="F80" s="5">
        <f>+D80*E80</f>
        <v>0</v>
      </c>
      <c r="G80" s="5"/>
      <c r="H80" s="5"/>
      <c r="I80" s="5"/>
      <c r="J80" s="5"/>
      <c r="K80" s="5"/>
      <c r="L80" s="5"/>
      <c r="M80" s="5"/>
      <c r="N80" s="5"/>
      <c r="O80" s="5"/>
      <c r="P80" s="5"/>
      <c r="Q80" s="5"/>
      <c r="R80" s="28"/>
    </row>
    <row r="81" spans="2:18" ht="15.75" thickBot="1">
      <c r="C81" s="46"/>
      <c r="D81" s="49">
        <f>SUM(D77:D80)</f>
        <v>0</v>
      </c>
      <c r="E81" s="49"/>
      <c r="F81" s="49">
        <f>SUM(F77:F80)</f>
        <v>0</v>
      </c>
      <c r="G81" s="49"/>
      <c r="H81" s="49"/>
      <c r="I81" s="49"/>
      <c r="J81" s="49"/>
      <c r="K81" s="49"/>
      <c r="L81" s="49"/>
      <c r="M81" s="49"/>
      <c r="N81" s="49"/>
      <c r="O81" s="49"/>
      <c r="P81" s="49"/>
      <c r="Q81" s="49"/>
      <c r="R81" s="50"/>
    </row>
    <row r="82" spans="2:18">
      <c r="C82" s="1"/>
    </row>
    <row r="83" spans="2:18">
      <c r="C83" s="1"/>
      <c r="G83">
        <f>+F79+F80*50</f>
        <v>0</v>
      </c>
    </row>
    <row r="84" spans="2:18">
      <c r="B84" t="s">
        <v>13</v>
      </c>
      <c r="C84" t="s">
        <v>95</v>
      </c>
    </row>
    <row r="85" spans="2:18" ht="15.75" thickBot="1"/>
    <row r="86" spans="2:18" ht="30.75" thickBot="1">
      <c r="C86" s="10" t="s">
        <v>79</v>
      </c>
      <c r="D86" s="23" t="s">
        <v>88</v>
      </c>
      <c r="E86" s="23" t="s">
        <v>89</v>
      </c>
      <c r="F86" s="23" t="s">
        <v>91</v>
      </c>
      <c r="G86" s="23" t="s">
        <v>92</v>
      </c>
      <c r="H86" s="23" t="s">
        <v>93</v>
      </c>
      <c r="I86" s="23" t="s">
        <v>94</v>
      </c>
      <c r="J86" s="23" t="s">
        <v>150</v>
      </c>
      <c r="K86" s="23" t="s">
        <v>151</v>
      </c>
      <c r="L86" s="23"/>
      <c r="M86" s="23"/>
      <c r="N86" s="23"/>
      <c r="O86" s="23"/>
      <c r="P86" s="23"/>
      <c r="Q86" s="23"/>
      <c r="R86" s="23"/>
    </row>
    <row r="87" spans="2:18">
      <c r="C87" s="48" t="s">
        <v>85</v>
      </c>
      <c r="D87" s="5"/>
      <c r="E87" s="236"/>
      <c r="F87" s="236">
        <f>0.3*0.3</f>
        <v>0.09</v>
      </c>
      <c r="G87" s="236">
        <f t="shared" ref="G87:G89" si="10">0.3*0.3</f>
        <v>0.09</v>
      </c>
      <c r="H87" s="5">
        <f>+D87*F87</f>
        <v>0</v>
      </c>
      <c r="I87" s="236">
        <f>+E87*G87</f>
        <v>0</v>
      </c>
      <c r="J87" s="5">
        <f>+D87*0.6</f>
        <v>0</v>
      </c>
      <c r="K87" s="5">
        <f>+E87*0.6</f>
        <v>0</v>
      </c>
      <c r="L87" s="5"/>
      <c r="M87" s="5"/>
      <c r="N87" s="5"/>
      <c r="O87" s="5"/>
      <c r="P87" s="5"/>
      <c r="Q87" s="5"/>
      <c r="R87" s="28"/>
    </row>
    <row r="88" spans="2:18" ht="15.75" thickBot="1">
      <c r="C88" s="48" t="s">
        <v>86</v>
      </c>
      <c r="D88" s="5"/>
      <c r="E88" s="237"/>
      <c r="F88" s="237"/>
      <c r="G88" s="237"/>
      <c r="H88" s="5">
        <f>+D88*F87</f>
        <v>0</v>
      </c>
      <c r="I88" s="237"/>
      <c r="J88" s="5">
        <f>+D88*0.6</f>
        <v>0</v>
      </c>
      <c r="K88" s="5"/>
      <c r="L88" s="5"/>
      <c r="M88" s="5"/>
      <c r="N88" s="5"/>
      <c r="O88" s="5"/>
      <c r="P88" s="5"/>
      <c r="Q88" s="5"/>
      <c r="R88" s="28"/>
    </row>
    <row r="89" spans="2:18">
      <c r="C89" s="47" t="s">
        <v>90</v>
      </c>
      <c r="D89" s="38"/>
      <c r="E89" s="38"/>
      <c r="F89" s="5">
        <f t="shared" ref="F89:G90" si="11">0.3*0.3</f>
        <v>0.09</v>
      </c>
      <c r="G89" s="5">
        <f t="shared" si="10"/>
        <v>0.09</v>
      </c>
      <c r="H89" s="38"/>
      <c r="I89" s="38"/>
      <c r="J89" s="38">
        <f>+D89*0.6</f>
        <v>0</v>
      </c>
      <c r="K89" s="38"/>
      <c r="L89" s="38"/>
      <c r="M89" s="38"/>
      <c r="N89" s="38"/>
      <c r="O89" s="38"/>
      <c r="P89" s="38"/>
      <c r="Q89" s="38"/>
      <c r="R89" s="39"/>
    </row>
    <row r="90" spans="2:18">
      <c r="C90" s="51" t="s">
        <v>96</v>
      </c>
      <c r="E90" s="38"/>
      <c r="F90" s="5"/>
      <c r="G90" s="5">
        <f t="shared" si="11"/>
        <v>0.09</v>
      </c>
      <c r="H90" s="38"/>
      <c r="I90" s="38">
        <f>+E90*G90</f>
        <v>0</v>
      </c>
      <c r="J90" s="38"/>
      <c r="K90" s="38">
        <f>+E90*0.9</f>
        <v>0</v>
      </c>
      <c r="L90" s="38"/>
      <c r="M90" s="38"/>
      <c r="N90" s="38"/>
      <c r="O90" s="38"/>
      <c r="P90" s="38"/>
      <c r="Q90" s="38"/>
      <c r="R90" s="39"/>
    </row>
    <row r="91" spans="2:18" ht="15.75" thickBot="1">
      <c r="C91" s="46"/>
      <c r="D91" s="49">
        <f>SUM(D87:D88)</f>
        <v>0</v>
      </c>
      <c r="E91" s="49"/>
      <c r="F91" s="49">
        <f>SUM(F87:F88)</f>
        <v>0.09</v>
      </c>
      <c r="G91" s="49"/>
      <c r="H91" s="49">
        <f>SUM(H87:H89)</f>
        <v>0</v>
      </c>
      <c r="I91" s="49">
        <f>SUM(I87:I89)</f>
        <v>0</v>
      </c>
      <c r="J91" s="49">
        <f>SUM(J87:J90)</f>
        <v>0</v>
      </c>
      <c r="K91" s="49">
        <f>SUM(K87:K90)</f>
        <v>0</v>
      </c>
      <c r="L91" s="49"/>
      <c r="M91" s="49"/>
      <c r="N91" s="49"/>
      <c r="O91" s="49"/>
      <c r="P91" s="49"/>
      <c r="Q91" s="49"/>
      <c r="R91" s="50"/>
    </row>
    <row r="94" spans="2:18">
      <c r="B94" t="s">
        <v>14</v>
      </c>
      <c r="C94" t="s">
        <v>97</v>
      </c>
    </row>
    <row r="95" spans="2:18" ht="15.75" thickBot="1"/>
    <row r="96" spans="2:18" ht="30.75" thickBot="1">
      <c r="C96" s="7"/>
      <c r="D96" s="73" t="s">
        <v>54</v>
      </c>
      <c r="E96" s="73" t="s">
        <v>102</v>
      </c>
      <c r="F96" s="73" t="s">
        <v>103</v>
      </c>
      <c r="G96" s="74" t="s">
        <v>104</v>
      </c>
      <c r="H96" s="74" t="s">
        <v>105</v>
      </c>
      <c r="I96" s="73" t="s">
        <v>106</v>
      </c>
      <c r="J96" s="73" t="s">
        <v>107</v>
      </c>
      <c r="K96" s="7" t="s">
        <v>169</v>
      </c>
      <c r="L96" s="7"/>
      <c r="M96" s="7"/>
      <c r="N96" s="7"/>
      <c r="O96" s="7"/>
      <c r="P96" s="7"/>
      <c r="Q96" s="7"/>
      <c r="R96" s="7"/>
    </row>
    <row r="97" spans="2:18" ht="15.75" thickBot="1">
      <c r="C97" s="24" t="s">
        <v>98</v>
      </c>
      <c r="D97" s="25"/>
      <c r="E97" s="52"/>
      <c r="F97" s="52"/>
      <c r="G97" s="52">
        <v>0.3</v>
      </c>
      <c r="H97" s="52">
        <v>0.18</v>
      </c>
      <c r="I97" s="52">
        <f>+(D97*E97*0.12)+(F97*(G97*H97)/2)</f>
        <v>0</v>
      </c>
      <c r="J97" s="52">
        <f>+D97*E97+F97*H97+2*D97*0.12</f>
        <v>0</v>
      </c>
      <c r="K97" s="52">
        <f>+(E97*G97*F97)+(E97*F97*H97)</f>
        <v>0</v>
      </c>
      <c r="L97" s="52"/>
      <c r="M97" s="25"/>
      <c r="N97" s="25"/>
      <c r="O97" s="25"/>
      <c r="P97" s="25"/>
      <c r="Q97" s="25"/>
      <c r="R97" s="26"/>
    </row>
    <row r="98" spans="2:18" ht="15.75" thickBot="1">
      <c r="C98" s="27" t="s">
        <v>99</v>
      </c>
      <c r="D98" s="5"/>
      <c r="E98" s="53"/>
      <c r="F98" s="53"/>
      <c r="G98" s="53">
        <v>0.3</v>
      </c>
      <c r="H98" s="53">
        <v>0.18</v>
      </c>
      <c r="I98" s="53">
        <f t="shared" ref="I98:I100" si="12">+(D98*E98*0.12)+(F98*(G98*H98)/2)</f>
        <v>0</v>
      </c>
      <c r="J98" s="53">
        <f t="shared" ref="J98:J100" si="13">+D98*E98+F98*H98+2*D98*0.12</f>
        <v>0</v>
      </c>
      <c r="K98" s="52">
        <f t="shared" ref="K98:K100" si="14">+(E98*G98*F98)+(E98*F98*H98)</f>
        <v>0</v>
      </c>
      <c r="L98" s="53"/>
      <c r="M98" s="5"/>
      <c r="N98" s="5"/>
      <c r="O98" s="5"/>
      <c r="P98" s="5"/>
      <c r="Q98" s="5"/>
      <c r="R98" s="28"/>
    </row>
    <row r="99" spans="2:18" ht="15.75" thickBot="1">
      <c r="C99" s="27" t="s">
        <v>100</v>
      </c>
      <c r="D99" s="5"/>
      <c r="E99" s="53"/>
      <c r="F99" s="53"/>
      <c r="G99" s="53">
        <v>0.3</v>
      </c>
      <c r="H99" s="53">
        <v>0.18</v>
      </c>
      <c r="I99" s="53">
        <f t="shared" si="12"/>
        <v>0</v>
      </c>
      <c r="J99" s="53">
        <f t="shared" si="13"/>
        <v>0</v>
      </c>
      <c r="K99" s="52">
        <f t="shared" si="14"/>
        <v>0</v>
      </c>
      <c r="L99" s="53"/>
      <c r="M99" s="5"/>
      <c r="N99" s="5"/>
      <c r="O99" s="5"/>
      <c r="P99" s="5"/>
      <c r="Q99" s="5"/>
      <c r="R99" s="28"/>
    </row>
    <row r="100" spans="2:18" ht="15.75" thickBot="1">
      <c r="C100" s="29" t="s">
        <v>101</v>
      </c>
      <c r="D100" s="30"/>
      <c r="E100" s="54"/>
      <c r="F100" s="54"/>
      <c r="G100" s="54">
        <v>0.3</v>
      </c>
      <c r="H100" s="54">
        <v>0.18</v>
      </c>
      <c r="I100" s="54">
        <f t="shared" si="12"/>
        <v>0</v>
      </c>
      <c r="J100" s="54">
        <f t="shared" si="13"/>
        <v>0</v>
      </c>
      <c r="K100" s="52">
        <f t="shared" si="14"/>
        <v>0</v>
      </c>
      <c r="L100" s="54"/>
      <c r="M100" s="30"/>
      <c r="N100" s="30"/>
      <c r="O100" s="30"/>
      <c r="P100" s="30"/>
      <c r="Q100" s="30"/>
      <c r="R100" s="31"/>
    </row>
    <row r="101" spans="2:18" ht="15.75" thickBot="1">
      <c r="C101" s="10" t="s">
        <v>108</v>
      </c>
      <c r="D101" s="10"/>
      <c r="E101" s="10"/>
      <c r="F101" s="10"/>
      <c r="G101" s="10"/>
      <c r="H101" s="10"/>
      <c r="I101" s="12">
        <f>SUM(I97:I100)</f>
        <v>0</v>
      </c>
      <c r="J101" s="12">
        <f>SUM(J97:J100)</f>
        <v>0</v>
      </c>
      <c r="K101" s="12">
        <f>SUM(K97:K100)</f>
        <v>0</v>
      </c>
      <c r="L101" s="10"/>
      <c r="M101" s="10"/>
      <c r="N101" s="10"/>
      <c r="O101" s="10"/>
      <c r="P101" s="10"/>
      <c r="Q101" s="10"/>
      <c r="R101" s="10"/>
    </row>
    <row r="104" spans="2:18">
      <c r="B104" t="s">
        <v>15</v>
      </c>
      <c r="C104" t="s">
        <v>109</v>
      </c>
    </row>
    <row r="106" spans="2:18" ht="45">
      <c r="C106" s="14" t="s">
        <v>119</v>
      </c>
      <c r="D106" s="13" t="s">
        <v>22</v>
      </c>
      <c r="E106" s="13" t="s">
        <v>114</v>
      </c>
      <c r="F106" s="75" t="s">
        <v>115</v>
      </c>
      <c r="G106" s="76" t="s">
        <v>116</v>
      </c>
      <c r="H106" s="76" t="s">
        <v>117</v>
      </c>
      <c r="I106" s="13" t="s">
        <v>118</v>
      </c>
    </row>
    <row r="107" spans="2:18">
      <c r="C107" s="5" t="s">
        <v>110</v>
      </c>
      <c r="D107" s="53">
        <f>+O26+H32+L41</f>
        <v>22.457599999999999</v>
      </c>
      <c r="E107" s="5">
        <v>60</v>
      </c>
      <c r="F107" s="53">
        <f>+D107*E107</f>
        <v>1347.4559999999999</v>
      </c>
      <c r="G107" s="53">
        <f>+F107*0.4</f>
        <v>538.98239999999998</v>
      </c>
      <c r="H107" s="53">
        <f>+F107*0.6</f>
        <v>808.47359999999992</v>
      </c>
      <c r="I107" s="5"/>
    </row>
    <row r="108" spans="2:18">
      <c r="C108" s="5" t="s">
        <v>111</v>
      </c>
      <c r="D108" s="53">
        <f>+F81</f>
        <v>0</v>
      </c>
      <c r="E108" s="5">
        <v>120</v>
      </c>
      <c r="F108" s="53">
        <f t="shared" ref="F108:F110" si="15">+D108*E108</f>
        <v>0</v>
      </c>
      <c r="G108" s="53">
        <f>+F108*0.3</f>
        <v>0</v>
      </c>
      <c r="H108" s="53">
        <f>+F108*0.1</f>
        <v>0</v>
      </c>
      <c r="I108" s="5">
        <f>+F108*0.6</f>
        <v>0</v>
      </c>
    </row>
    <row r="109" spans="2:18">
      <c r="C109" s="5" t="s">
        <v>112</v>
      </c>
      <c r="D109" s="53">
        <f>+H91+I91+I101</f>
        <v>0</v>
      </c>
      <c r="E109" s="5">
        <v>135</v>
      </c>
      <c r="F109" s="53">
        <f t="shared" si="15"/>
        <v>0</v>
      </c>
      <c r="G109" s="53">
        <f>+F109*0.3</f>
        <v>0</v>
      </c>
      <c r="H109" s="53">
        <f>+F109*0.7</f>
        <v>0</v>
      </c>
      <c r="I109" s="5"/>
    </row>
    <row r="110" spans="2:18" ht="15.75" thickBot="1">
      <c r="C110" s="6" t="s">
        <v>113</v>
      </c>
      <c r="D110" s="56">
        <f>+F68+F69+F70</f>
        <v>0</v>
      </c>
      <c r="E110" s="6">
        <v>120</v>
      </c>
      <c r="F110" s="56">
        <f t="shared" si="15"/>
        <v>0</v>
      </c>
      <c r="G110" s="56">
        <f>+F110*0.2</f>
        <v>0</v>
      </c>
      <c r="H110" s="56">
        <f>+F110*0.2</f>
        <v>0</v>
      </c>
      <c r="I110" s="6">
        <f>+F110*0.6</f>
        <v>0</v>
      </c>
    </row>
    <row r="111" spans="2:18" ht="15.75" thickBot="1">
      <c r="C111" s="7" t="s">
        <v>108</v>
      </c>
      <c r="D111" s="12">
        <f>SUM(D107:D110)</f>
        <v>22.457599999999999</v>
      </c>
      <c r="E111" s="7"/>
      <c r="F111" s="12">
        <f>SUM(F107:F110)</f>
        <v>1347.4559999999999</v>
      </c>
      <c r="G111" s="12">
        <f>SUM(G107:G110)</f>
        <v>538.98239999999998</v>
      </c>
      <c r="H111" s="12">
        <f t="shared" ref="H111:I111" si="16">SUM(H107:H110)</f>
        <v>808.47359999999992</v>
      </c>
      <c r="I111" s="12">
        <f t="shared" si="16"/>
        <v>0</v>
      </c>
    </row>
    <row r="114" spans="2:9">
      <c r="B114" t="s">
        <v>17</v>
      </c>
      <c r="C114" t="s">
        <v>120</v>
      </c>
    </row>
    <row r="116" spans="2:9">
      <c r="C116" s="5"/>
      <c r="D116" s="4" t="s">
        <v>125</v>
      </c>
      <c r="E116" s="4" t="s">
        <v>126</v>
      </c>
      <c r="F116" s="4"/>
      <c r="G116" s="4"/>
      <c r="H116" s="4"/>
      <c r="I116" s="4"/>
    </row>
    <row r="117" spans="2:9">
      <c r="C117" s="5" t="s">
        <v>122</v>
      </c>
      <c r="D117" s="53"/>
      <c r="E117" s="53"/>
      <c r="F117" s="53"/>
      <c r="G117" s="53"/>
      <c r="H117" s="53"/>
      <c r="I117" s="53"/>
    </row>
    <row r="118" spans="2:9">
      <c r="C118" s="5" t="s">
        <v>121</v>
      </c>
      <c r="D118" s="53"/>
      <c r="E118" s="53"/>
      <c r="F118" s="53"/>
      <c r="G118" s="53"/>
      <c r="H118" s="53"/>
      <c r="I118" s="53"/>
    </row>
    <row r="119" spans="2:9">
      <c r="C119" s="5" t="s">
        <v>123</v>
      </c>
      <c r="D119" s="5"/>
      <c r="E119" s="5"/>
      <c r="F119" s="5"/>
      <c r="G119" s="5"/>
      <c r="H119" s="5"/>
      <c r="I119" s="5"/>
    </row>
    <row r="120" spans="2:9" ht="15.75" thickBot="1">
      <c r="C120" s="6" t="s">
        <v>124</v>
      </c>
      <c r="D120" s="6"/>
      <c r="E120" s="6"/>
      <c r="F120" s="6"/>
      <c r="G120" s="6"/>
      <c r="H120" s="6"/>
      <c r="I120" s="6"/>
    </row>
    <row r="121" spans="2:9" ht="15.75" thickBot="1">
      <c r="C121" s="10" t="s">
        <v>108</v>
      </c>
      <c r="D121" s="12">
        <f>SUM(D117:D120)</f>
        <v>0</v>
      </c>
      <c r="E121" s="12">
        <f t="shared" ref="E121:I121" si="17">SUM(E117:E120)</f>
        <v>0</v>
      </c>
      <c r="F121" s="11">
        <f t="shared" si="17"/>
        <v>0</v>
      </c>
      <c r="G121" s="11">
        <f t="shared" si="17"/>
        <v>0</v>
      </c>
      <c r="H121" s="11">
        <f t="shared" si="17"/>
        <v>0</v>
      </c>
      <c r="I121" s="11">
        <f t="shared" si="17"/>
        <v>0</v>
      </c>
    </row>
    <row r="124" spans="2:9">
      <c r="B124" t="s">
        <v>28</v>
      </c>
      <c r="C124" t="s">
        <v>129</v>
      </c>
    </row>
    <row r="125" spans="2:9">
      <c r="C125" s="5"/>
      <c r="D125" s="4" t="s">
        <v>10</v>
      </c>
      <c r="E125" s="4"/>
    </row>
    <row r="126" spans="2:9">
      <c r="C126" s="5" t="s">
        <v>51</v>
      </c>
      <c r="D126" s="5"/>
      <c r="E126" s="5"/>
    </row>
    <row r="127" spans="2:9">
      <c r="C127" s="5" t="s">
        <v>130</v>
      </c>
      <c r="D127" s="5"/>
      <c r="E127" s="5"/>
    </row>
    <row r="128" spans="2:9">
      <c r="C128" s="5" t="s">
        <v>131</v>
      </c>
      <c r="D128" s="5"/>
      <c r="E128" s="5"/>
    </row>
    <row r="129" spans="2:9">
      <c r="C129" s="5"/>
      <c r="D129" s="5">
        <f>SUM(D126:D128)</f>
        <v>0</v>
      </c>
      <c r="E129" s="5"/>
    </row>
    <row r="132" spans="2:9">
      <c r="B132" t="s">
        <v>29</v>
      </c>
      <c r="C132" t="s">
        <v>132</v>
      </c>
    </row>
    <row r="133" spans="2:9" ht="11.25" customHeight="1"/>
    <row r="134" spans="2:9">
      <c r="C134" s="14"/>
      <c r="D134" s="13" t="s">
        <v>54</v>
      </c>
      <c r="E134" s="13" t="s">
        <v>48</v>
      </c>
      <c r="F134" s="13" t="s">
        <v>137</v>
      </c>
      <c r="G134" s="13" t="s">
        <v>52</v>
      </c>
    </row>
    <row r="135" spans="2:9">
      <c r="C135" s="5" t="s">
        <v>133</v>
      </c>
      <c r="D135" s="5"/>
      <c r="E135" s="5"/>
      <c r="F135" s="53">
        <f>+D135*E135*0.29</f>
        <v>0</v>
      </c>
      <c r="G135" s="5">
        <f>+D135*E135</f>
        <v>0</v>
      </c>
    </row>
    <row r="136" spans="2:9">
      <c r="C136" s="5" t="s">
        <v>134</v>
      </c>
      <c r="D136" s="5"/>
      <c r="E136" s="5"/>
      <c r="F136" s="53">
        <f t="shared" ref="F136:F137" si="18">+D136*E136*0.29</f>
        <v>0</v>
      </c>
      <c r="G136" s="5">
        <f>+D136*E136</f>
        <v>0</v>
      </c>
      <c r="I136" s="2"/>
    </row>
    <row r="137" spans="2:9">
      <c r="C137" s="5" t="s">
        <v>136</v>
      </c>
      <c r="D137" s="5"/>
      <c r="E137" s="5"/>
      <c r="F137" s="53">
        <f t="shared" si="18"/>
        <v>0</v>
      </c>
    </row>
    <row r="138" spans="2:9">
      <c r="C138" s="14" t="s">
        <v>108</v>
      </c>
      <c r="D138" s="14"/>
      <c r="E138" s="14"/>
      <c r="F138" s="57">
        <f>SUM(F135:F137)</f>
        <v>0</v>
      </c>
    </row>
    <row r="140" spans="2:9">
      <c r="C140" s="5" t="s">
        <v>135</v>
      </c>
      <c r="D140" s="13" t="s">
        <v>52</v>
      </c>
      <c r="E140" s="13" t="s">
        <v>137</v>
      </c>
    </row>
    <row r="141" spans="2:9">
      <c r="C141" s="5" t="s">
        <v>138</v>
      </c>
      <c r="D141" s="5"/>
      <c r="E141" s="57">
        <f>+D141*0.29</f>
        <v>0</v>
      </c>
    </row>
    <row r="142" spans="2:9">
      <c r="C142" s="5" t="s">
        <v>139</v>
      </c>
      <c r="D142" s="5"/>
      <c r="E142" s="57">
        <f>+D142*0.29</f>
        <v>0</v>
      </c>
    </row>
    <row r="143" spans="2:9">
      <c r="C143" s="5" t="s">
        <v>140</v>
      </c>
      <c r="D143" s="5"/>
      <c r="E143" s="57">
        <f>SUM(E141:E142)</f>
        <v>0</v>
      </c>
    </row>
    <row r="144" spans="2:9" ht="15.75" thickBot="1"/>
    <row r="145" spans="2:6" ht="15.75" thickBot="1">
      <c r="C145" s="72" t="s">
        <v>141</v>
      </c>
      <c r="D145" s="69"/>
      <c r="E145" s="69"/>
      <c r="F145" s="70">
        <f>+F138-E143</f>
        <v>0</v>
      </c>
    </row>
    <row r="148" spans="2:6">
      <c r="B148" t="s">
        <v>41</v>
      </c>
      <c r="C148" t="s">
        <v>142</v>
      </c>
    </row>
    <row r="149" spans="2:6" ht="11.25" customHeight="1"/>
    <row r="150" spans="2:6">
      <c r="C150" s="14"/>
      <c r="D150" s="71" t="s">
        <v>54</v>
      </c>
      <c r="E150" s="71" t="s">
        <v>48</v>
      </c>
      <c r="F150" s="71" t="s">
        <v>52</v>
      </c>
    </row>
    <row r="151" spans="2:6">
      <c r="C151" s="5" t="s">
        <v>133</v>
      </c>
      <c r="D151" s="5"/>
      <c r="E151" s="5">
        <v>2.84</v>
      </c>
      <c r="F151" s="53">
        <f>+D151*E151</f>
        <v>0</v>
      </c>
    </row>
    <row r="152" spans="2:6">
      <c r="C152" s="5" t="s">
        <v>134</v>
      </c>
      <c r="D152" s="5"/>
      <c r="E152" s="5">
        <v>2.84</v>
      </c>
      <c r="F152" s="53">
        <f t="shared" ref="F152:F153" si="19">+D152*E152</f>
        <v>0</v>
      </c>
    </row>
    <row r="153" spans="2:6">
      <c r="C153" s="5" t="s">
        <v>143</v>
      </c>
      <c r="D153" s="5"/>
      <c r="E153" s="5">
        <v>2.84</v>
      </c>
      <c r="F153" s="53">
        <f t="shared" si="19"/>
        <v>0</v>
      </c>
    </row>
    <row r="154" spans="2:6">
      <c r="C154" s="14" t="s">
        <v>108</v>
      </c>
      <c r="D154" s="14"/>
      <c r="E154" s="14"/>
      <c r="F154" s="57">
        <f>SUM(F151:F153)</f>
        <v>0</v>
      </c>
    </row>
    <row r="156" spans="2:6">
      <c r="C156" s="5" t="s">
        <v>135</v>
      </c>
      <c r="D156" s="13" t="s">
        <v>52</v>
      </c>
      <c r="E156" s="13" t="s">
        <v>137</v>
      </c>
    </row>
    <row r="157" spans="2:6">
      <c r="C157" s="5" t="s">
        <v>138</v>
      </c>
      <c r="D157" s="55"/>
      <c r="E157" s="57"/>
    </row>
    <row r="158" spans="2:6">
      <c r="C158" s="5" t="s">
        <v>139</v>
      </c>
      <c r="D158" s="55"/>
      <c r="E158" s="57"/>
    </row>
    <row r="159" spans="2:6" ht="15.75" thickBot="1">
      <c r="C159" s="6" t="s">
        <v>140</v>
      </c>
      <c r="D159" s="6"/>
      <c r="E159" s="57"/>
    </row>
    <row r="160" spans="2:6" ht="15.75" thickBot="1">
      <c r="C160" s="10" t="s">
        <v>108</v>
      </c>
      <c r="D160" s="12">
        <f>SUM(D157:D159)</f>
        <v>0</v>
      </c>
      <c r="E160" s="77"/>
    </row>
    <row r="161" spans="2:6" ht="15.75" thickBot="1"/>
    <row r="162" spans="2:6" ht="15.75" thickBot="1">
      <c r="C162" s="72" t="s">
        <v>142</v>
      </c>
      <c r="D162" s="69"/>
      <c r="E162" s="69"/>
      <c r="F162" s="70">
        <f>+F154-D160</f>
        <v>0</v>
      </c>
    </row>
    <row r="165" spans="2:6">
      <c r="B165" t="s">
        <v>42</v>
      </c>
      <c r="C165" t="s">
        <v>145</v>
      </c>
    </row>
    <row r="168" spans="2:6">
      <c r="C168" s="14" t="s">
        <v>148</v>
      </c>
      <c r="D168" s="71" t="s">
        <v>54</v>
      </c>
      <c r="E168" s="71" t="s">
        <v>48</v>
      </c>
      <c r="F168" s="71" t="s">
        <v>137</v>
      </c>
    </row>
    <row r="169" spans="2:6">
      <c r="C169" s="5" t="s">
        <v>133</v>
      </c>
      <c r="D169" s="5"/>
      <c r="E169" s="5">
        <v>2.84</v>
      </c>
      <c r="F169" s="53">
        <f>+D169*E169</f>
        <v>0</v>
      </c>
    </row>
    <row r="170" spans="2:6">
      <c r="C170" s="5" t="s">
        <v>134</v>
      </c>
      <c r="D170" s="5"/>
      <c r="E170" s="5">
        <v>2.84</v>
      </c>
      <c r="F170" s="53">
        <f t="shared" ref="F170:F171" si="20">+D170*E170</f>
        <v>0</v>
      </c>
    </row>
    <row r="171" spans="2:6">
      <c r="C171" s="5" t="s">
        <v>143</v>
      </c>
      <c r="D171" s="5"/>
      <c r="E171" s="5">
        <v>2.84</v>
      </c>
      <c r="F171" s="53">
        <f t="shared" si="20"/>
        <v>0</v>
      </c>
    </row>
    <row r="172" spans="2:6">
      <c r="C172" s="14" t="s">
        <v>108</v>
      </c>
      <c r="D172" s="14"/>
      <c r="E172" s="14"/>
      <c r="F172" s="57">
        <f>SUM(F169:F171)</f>
        <v>0</v>
      </c>
    </row>
    <row r="175" spans="2:6">
      <c r="C175" s="5" t="s">
        <v>135</v>
      </c>
      <c r="D175" s="13" t="s">
        <v>52</v>
      </c>
    </row>
    <row r="176" spans="2:6">
      <c r="C176" s="5" t="s">
        <v>138</v>
      </c>
      <c r="D176" s="55"/>
    </row>
    <row r="177" spans="2:6">
      <c r="C177" s="5" t="s">
        <v>139</v>
      </c>
      <c r="D177" s="55"/>
    </row>
    <row r="178" spans="2:6" ht="15.75" thickBot="1">
      <c r="C178" s="6" t="s">
        <v>140</v>
      </c>
      <c r="D178" s="6"/>
    </row>
    <row r="179" spans="2:6" ht="15.75" thickBot="1">
      <c r="C179" s="10" t="s">
        <v>108</v>
      </c>
      <c r="D179" s="12">
        <f>SUM(D176:D178)</f>
        <v>0</v>
      </c>
    </row>
    <row r="180" spans="2:6" ht="15.75" thickBot="1"/>
    <row r="181" spans="2:6" ht="15.75" thickBot="1">
      <c r="C181" s="72" t="s">
        <v>144</v>
      </c>
      <c r="D181" s="69"/>
      <c r="E181" s="69"/>
      <c r="F181" s="70">
        <f>+F172-D179</f>
        <v>0</v>
      </c>
    </row>
    <row r="184" spans="2:6">
      <c r="B184" t="s">
        <v>43</v>
      </c>
      <c r="C184" t="s">
        <v>146</v>
      </c>
    </row>
    <row r="186" spans="2:6">
      <c r="C186" s="14" t="s">
        <v>148</v>
      </c>
      <c r="D186" s="71" t="s">
        <v>52</v>
      </c>
      <c r="E186" s="78" t="s">
        <v>147</v>
      </c>
      <c r="F186" s="71" t="s">
        <v>137</v>
      </c>
    </row>
    <row r="187" spans="2:6">
      <c r="C187" s="5" t="s">
        <v>133</v>
      </c>
      <c r="D187" s="5"/>
      <c r="E187" s="79"/>
      <c r="F187" s="53">
        <f>+D187-E187</f>
        <v>0</v>
      </c>
    </row>
    <row r="188" spans="2:6">
      <c r="C188" s="5" t="s">
        <v>134</v>
      </c>
      <c r="D188" s="5"/>
      <c r="E188" s="79"/>
      <c r="F188" s="53">
        <f t="shared" ref="F188:F189" si="21">+D188-E188</f>
        <v>0</v>
      </c>
    </row>
    <row r="189" spans="2:6">
      <c r="C189" s="5" t="s">
        <v>143</v>
      </c>
      <c r="D189" s="5"/>
      <c r="E189" s="79"/>
      <c r="F189" s="53">
        <f t="shared" si="21"/>
        <v>0</v>
      </c>
    </row>
    <row r="190" spans="2:6">
      <c r="C190" s="14" t="s">
        <v>108</v>
      </c>
      <c r="D190" s="14"/>
      <c r="E190" s="80"/>
      <c r="F190" s="57">
        <f>SUM(F187:F189)</f>
        <v>0</v>
      </c>
    </row>
    <row r="193" spans="2:6">
      <c r="B193" t="s">
        <v>44</v>
      </c>
      <c r="C193" t="s">
        <v>149</v>
      </c>
    </row>
    <row r="195" spans="2:6">
      <c r="C195" s="14" t="s">
        <v>148</v>
      </c>
      <c r="D195" s="71" t="s">
        <v>54</v>
      </c>
    </row>
    <row r="196" spans="2:6">
      <c r="C196" s="5" t="s">
        <v>133</v>
      </c>
      <c r="D196" s="5"/>
    </row>
    <row r="197" spans="2:6">
      <c r="C197" s="5" t="s">
        <v>134</v>
      </c>
      <c r="D197" s="5"/>
    </row>
    <row r="198" spans="2:6">
      <c r="C198" s="5" t="s">
        <v>143</v>
      </c>
      <c r="D198" s="5"/>
    </row>
    <row r="199" spans="2:6">
      <c r="D199">
        <f>SUM(D196:D198)</f>
        <v>0</v>
      </c>
    </row>
    <row r="202" spans="2:6">
      <c r="B202" t="s">
        <v>45</v>
      </c>
      <c r="C202" t="s">
        <v>157</v>
      </c>
    </row>
    <row r="204" spans="2:6">
      <c r="C204" s="5" t="s">
        <v>231</v>
      </c>
      <c r="D204" s="5">
        <v>13.36</v>
      </c>
      <c r="E204" s="5">
        <v>3.5</v>
      </c>
      <c r="F204" s="5">
        <f>+D204*E204</f>
        <v>46.76</v>
      </c>
    </row>
    <row r="205" spans="2:6">
      <c r="C205" s="5" t="s">
        <v>232</v>
      </c>
      <c r="D205" s="5">
        <v>3.82</v>
      </c>
      <c r="E205" s="5">
        <v>3.5</v>
      </c>
      <c r="F205" s="5">
        <f>+D205*E205</f>
        <v>13.37</v>
      </c>
    </row>
    <row r="206" spans="2:6">
      <c r="C206" s="5" t="s">
        <v>233</v>
      </c>
      <c r="D206" s="5">
        <v>0.91</v>
      </c>
      <c r="E206" s="5">
        <v>3.5</v>
      </c>
      <c r="F206" s="5">
        <f>+D206*E206</f>
        <v>3.1850000000000001</v>
      </c>
    </row>
    <row r="207" spans="2:6" ht="15.75" thickBot="1">
      <c r="C207" s="6" t="s">
        <v>234</v>
      </c>
      <c r="D207" s="5">
        <v>5.72</v>
      </c>
      <c r="E207" s="5">
        <v>3.5</v>
      </c>
      <c r="F207" s="5">
        <f>+D207*E207</f>
        <v>20.02</v>
      </c>
    </row>
    <row r="208" spans="2:6" ht="15.75" thickBot="1">
      <c r="C208" s="7" t="s">
        <v>156</v>
      </c>
      <c r="D208" s="81">
        <v>-5</v>
      </c>
      <c r="F208">
        <f>SUM(F204:F207)</f>
        <v>83.334999999999994</v>
      </c>
    </row>
    <row r="209" spans="2:9" ht="15.75" thickBot="1">
      <c r="C209" s="10" t="s">
        <v>108</v>
      </c>
      <c r="D209" s="10">
        <f>SUM(D204:D208)</f>
        <v>18.809999999999999</v>
      </c>
    </row>
    <row r="212" spans="2:9">
      <c r="B212" t="s">
        <v>45</v>
      </c>
      <c r="C212" t="s">
        <v>158</v>
      </c>
    </row>
    <row r="214" spans="2:9">
      <c r="C214" s="5" t="s">
        <v>152</v>
      </c>
      <c r="D214" s="5"/>
    </row>
    <row r="215" spans="2:9">
      <c r="C215" s="5" t="s">
        <v>153</v>
      </c>
      <c r="D215" s="5"/>
    </row>
    <row r="216" spans="2:9">
      <c r="C216" s="5" t="s">
        <v>154</v>
      </c>
      <c r="D216" s="5"/>
    </row>
    <row r="217" spans="2:9" ht="15.75" thickBot="1">
      <c r="C217" s="6" t="s">
        <v>155</v>
      </c>
      <c r="D217" s="6"/>
    </row>
    <row r="218" spans="2:9" ht="15.75" thickBot="1">
      <c r="C218" s="7" t="s">
        <v>156</v>
      </c>
      <c r="D218" s="7">
        <v>-1.8</v>
      </c>
      <c r="I218">
        <v>3.14</v>
      </c>
    </row>
    <row r="219" spans="2:9" ht="15.75" thickBot="1">
      <c r="C219" s="10" t="s">
        <v>108</v>
      </c>
      <c r="D219" s="10">
        <f>SUM(D214:D218)</f>
        <v>-1.8</v>
      </c>
      <c r="I219">
        <v>3.41</v>
      </c>
    </row>
    <row r="220" spans="2:9">
      <c r="I220">
        <v>4.2699999999999996</v>
      </c>
    </row>
    <row r="223" spans="2:9">
      <c r="B223" t="s">
        <v>46</v>
      </c>
      <c r="C223" t="s">
        <v>162</v>
      </c>
    </row>
    <row r="225" spans="2:6">
      <c r="C225" s="5" t="s">
        <v>159</v>
      </c>
      <c r="D225" s="5"/>
    </row>
    <row r="226" spans="2:6">
      <c r="C226" s="5" t="s">
        <v>160</v>
      </c>
      <c r="D226" s="5"/>
    </row>
    <row r="227" spans="2:6">
      <c r="C227" s="5"/>
      <c r="D227" s="5"/>
    </row>
    <row r="228" spans="2:6" ht="15.75" thickBot="1">
      <c r="C228" s="6"/>
      <c r="D228" s="6"/>
    </row>
    <row r="229" spans="2:6" ht="15.75" thickBot="1">
      <c r="C229" s="7" t="s">
        <v>156</v>
      </c>
      <c r="D229" s="7"/>
    </row>
    <row r="230" spans="2:6" ht="15.75" thickBot="1">
      <c r="C230" s="10" t="s">
        <v>108</v>
      </c>
      <c r="D230" s="10">
        <f>SUM(D225:D229)</f>
        <v>0</v>
      </c>
    </row>
    <row r="233" spans="2:6">
      <c r="B233" t="s">
        <v>47</v>
      </c>
      <c r="C233" t="s">
        <v>161</v>
      </c>
    </row>
    <row r="234" spans="2:6">
      <c r="D234" s="5" t="s">
        <v>52</v>
      </c>
      <c r="E234" s="5" t="s">
        <v>165</v>
      </c>
      <c r="F234" s="5" t="s">
        <v>137</v>
      </c>
    </row>
    <row r="235" spans="2:6">
      <c r="C235" s="8" t="s">
        <v>163</v>
      </c>
      <c r="D235" s="5"/>
      <c r="E235" s="5"/>
      <c r="F235" s="5">
        <f>+D235*E235</f>
        <v>0</v>
      </c>
    </row>
    <row r="236" spans="2:6">
      <c r="C236" s="8" t="s">
        <v>164</v>
      </c>
      <c r="D236" s="5"/>
      <c r="E236" s="5"/>
      <c r="F236" s="5">
        <f>+D236*E236</f>
        <v>0</v>
      </c>
    </row>
    <row r="237" spans="2:6" ht="30">
      <c r="C237" s="83" t="s">
        <v>166</v>
      </c>
      <c r="D237" s="5"/>
      <c r="E237" s="5"/>
      <c r="F237" s="5">
        <f>+D237*E237</f>
        <v>0</v>
      </c>
    </row>
    <row r="238" spans="2:6" ht="15.75" thickBot="1">
      <c r="C238" s="82"/>
      <c r="D238" s="5"/>
      <c r="E238" s="5"/>
      <c r="F238" s="5"/>
    </row>
    <row r="239" spans="2:6" ht="15.75" thickBot="1">
      <c r="C239" s="7" t="s">
        <v>156</v>
      </c>
      <c r="D239" s="81"/>
    </row>
    <row r="240" spans="2:6" ht="15.75" thickBot="1">
      <c r="C240" s="10" t="s">
        <v>108</v>
      </c>
      <c r="D240" s="10">
        <f>SUM(F235:F238)</f>
        <v>0</v>
      </c>
    </row>
    <row r="242" spans="2:10">
      <c r="C242" s="84"/>
      <c r="D242" s="85" t="s">
        <v>54</v>
      </c>
    </row>
    <row r="243" spans="2:10">
      <c r="C243" s="84" t="s">
        <v>167</v>
      </c>
      <c r="D243" s="84">
        <f>2.34*2</f>
        <v>4.68</v>
      </c>
    </row>
    <row r="245" spans="2:10">
      <c r="C245" s="5" t="s">
        <v>168</v>
      </c>
      <c r="D245" s="5"/>
      <c r="E245" s="5"/>
      <c r="F245" s="5"/>
      <c r="G245" s="5"/>
      <c r="H245" s="5"/>
      <c r="I245" s="5"/>
      <c r="J245" s="5"/>
    </row>
    <row r="248" spans="2:10">
      <c r="B248" t="s">
        <v>49</v>
      </c>
      <c r="C248" t="s">
        <v>170</v>
      </c>
    </row>
    <row r="250" spans="2:10">
      <c r="C250" s="14" t="s">
        <v>148</v>
      </c>
      <c r="D250" s="71" t="s">
        <v>52</v>
      </c>
    </row>
    <row r="251" spans="2:10">
      <c r="C251" s="5" t="s">
        <v>133</v>
      </c>
      <c r="D251" s="5"/>
    </row>
    <row r="252" spans="2:10">
      <c r="C252" s="5" t="s">
        <v>134</v>
      </c>
      <c r="D252" s="5"/>
    </row>
    <row r="253" spans="2:10">
      <c r="C253" s="5" t="s">
        <v>143</v>
      </c>
      <c r="D253" s="5"/>
    </row>
    <row r="255" spans="2:10">
      <c r="C255" t="s">
        <v>171</v>
      </c>
      <c r="D255">
        <v>35</v>
      </c>
    </row>
  </sheetData>
  <mergeCells count="4">
    <mergeCell ref="E87:E88"/>
    <mergeCell ref="I87:I88"/>
    <mergeCell ref="G87:G88"/>
    <mergeCell ref="F87:F8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3:X31"/>
  <sheetViews>
    <sheetView workbookViewId="0">
      <selection activeCell="H41" sqref="H41"/>
    </sheetView>
  </sheetViews>
  <sheetFormatPr defaultRowHeight="15"/>
  <cols>
    <col min="1" max="1" width="12.28515625" customWidth="1"/>
    <col min="2" max="2" width="6.7109375" hidden="1" customWidth="1"/>
    <col min="5" max="5" width="8.85546875" customWidth="1"/>
    <col min="6" max="6" width="11.5703125" customWidth="1"/>
    <col min="9" max="9" width="9.5703125" customWidth="1"/>
    <col min="12" max="12" width="4.85546875" bestFit="1" customWidth="1"/>
    <col min="13" max="13" width="4.28515625" bestFit="1" customWidth="1"/>
    <col min="14" max="14" width="7.28515625" bestFit="1" customWidth="1"/>
    <col min="15" max="15" width="4.85546875" bestFit="1" customWidth="1"/>
    <col min="16" max="16" width="7.28515625" customWidth="1"/>
    <col min="17" max="17" width="10.85546875" customWidth="1"/>
    <col min="18" max="18" width="10.7109375" customWidth="1"/>
    <col min="19" max="19" width="0.140625" hidden="1" customWidth="1"/>
    <col min="20" max="20" width="7.42578125" customWidth="1"/>
    <col min="21" max="21" width="4.7109375" customWidth="1"/>
    <col min="22" max="22" width="11" customWidth="1"/>
    <col min="23" max="23" width="11.85546875" customWidth="1"/>
    <col min="24" max="24" width="12.28515625" customWidth="1"/>
    <col min="257" max="257" width="12.28515625" customWidth="1"/>
    <col min="258" max="258" width="0" hidden="1" customWidth="1"/>
    <col min="261" max="261" width="8.85546875" customWidth="1"/>
    <col min="262" max="262" width="11.5703125" customWidth="1"/>
    <col min="265" max="265" width="9.5703125" customWidth="1"/>
    <col min="268" max="268" width="4.85546875" bestFit="1" customWidth="1"/>
    <col min="269" max="269" width="4.28515625" bestFit="1" customWidth="1"/>
    <col min="270" max="270" width="7.28515625" bestFit="1" customWidth="1"/>
    <col min="271" max="271" width="4.85546875" bestFit="1" customWidth="1"/>
    <col min="272" max="272" width="7.28515625" customWidth="1"/>
    <col min="273" max="273" width="10.85546875" customWidth="1"/>
    <col min="274" max="274" width="10.7109375" customWidth="1"/>
    <col min="275" max="275" width="0" hidden="1" customWidth="1"/>
    <col min="276" max="276" width="7.42578125" customWidth="1"/>
    <col min="277" max="277" width="4.7109375" customWidth="1"/>
    <col min="278" max="278" width="11" customWidth="1"/>
    <col min="279" max="279" width="11.85546875" customWidth="1"/>
    <col min="280" max="280" width="12.28515625" customWidth="1"/>
    <col min="513" max="513" width="12.28515625" customWidth="1"/>
    <col min="514" max="514" width="0" hidden="1" customWidth="1"/>
    <col min="517" max="517" width="8.85546875" customWidth="1"/>
    <col min="518" max="518" width="11.5703125" customWidth="1"/>
    <col min="521" max="521" width="9.5703125" customWidth="1"/>
    <col min="524" max="524" width="4.85546875" bestFit="1" customWidth="1"/>
    <col min="525" max="525" width="4.28515625" bestFit="1" customWidth="1"/>
    <col min="526" max="526" width="7.28515625" bestFit="1" customWidth="1"/>
    <col min="527" max="527" width="4.85546875" bestFit="1" customWidth="1"/>
    <col min="528" max="528" width="7.28515625" customWidth="1"/>
    <col min="529" max="529" width="10.85546875" customWidth="1"/>
    <col min="530" max="530" width="10.7109375" customWidth="1"/>
    <col min="531" max="531" width="0" hidden="1" customWidth="1"/>
    <col min="532" max="532" width="7.42578125" customWidth="1"/>
    <col min="533" max="533" width="4.7109375" customWidth="1"/>
    <col min="534" max="534" width="11" customWidth="1"/>
    <col min="535" max="535" width="11.85546875" customWidth="1"/>
    <col min="536" max="536" width="12.28515625" customWidth="1"/>
    <col min="769" max="769" width="12.28515625" customWidth="1"/>
    <col min="770" max="770" width="0" hidden="1" customWidth="1"/>
    <col min="773" max="773" width="8.85546875" customWidth="1"/>
    <col min="774" max="774" width="11.5703125" customWidth="1"/>
    <col min="777" max="777" width="9.5703125" customWidth="1"/>
    <col min="780" max="780" width="4.85546875" bestFit="1" customWidth="1"/>
    <col min="781" max="781" width="4.28515625" bestFit="1" customWidth="1"/>
    <col min="782" max="782" width="7.28515625" bestFit="1" customWidth="1"/>
    <col min="783" max="783" width="4.85546875" bestFit="1" customWidth="1"/>
    <col min="784" max="784" width="7.28515625" customWidth="1"/>
    <col min="785" max="785" width="10.85546875" customWidth="1"/>
    <col min="786" max="786" width="10.7109375" customWidth="1"/>
    <col min="787" max="787" width="0" hidden="1" customWidth="1"/>
    <col min="788" max="788" width="7.42578125" customWidth="1"/>
    <col min="789" max="789" width="4.7109375" customWidth="1"/>
    <col min="790" max="790" width="11" customWidth="1"/>
    <col min="791" max="791" width="11.85546875" customWidth="1"/>
    <col min="792" max="792" width="12.28515625" customWidth="1"/>
    <col min="1025" max="1025" width="12.28515625" customWidth="1"/>
    <col min="1026" max="1026" width="0" hidden="1" customWidth="1"/>
    <col min="1029" max="1029" width="8.85546875" customWidth="1"/>
    <col min="1030" max="1030" width="11.5703125" customWidth="1"/>
    <col min="1033" max="1033" width="9.5703125" customWidth="1"/>
    <col min="1036" max="1036" width="4.85546875" bestFit="1" customWidth="1"/>
    <col min="1037" max="1037" width="4.28515625" bestFit="1" customWidth="1"/>
    <col min="1038" max="1038" width="7.28515625" bestFit="1" customWidth="1"/>
    <col min="1039" max="1039" width="4.85546875" bestFit="1" customWidth="1"/>
    <col min="1040" max="1040" width="7.28515625" customWidth="1"/>
    <col min="1041" max="1041" width="10.85546875" customWidth="1"/>
    <col min="1042" max="1042" width="10.7109375" customWidth="1"/>
    <col min="1043" max="1043" width="0" hidden="1" customWidth="1"/>
    <col min="1044" max="1044" width="7.42578125" customWidth="1"/>
    <col min="1045" max="1045" width="4.7109375" customWidth="1"/>
    <col min="1046" max="1046" width="11" customWidth="1"/>
    <col min="1047" max="1047" width="11.85546875" customWidth="1"/>
    <col min="1048" max="1048" width="12.28515625" customWidth="1"/>
    <col min="1281" max="1281" width="12.28515625" customWidth="1"/>
    <col min="1282" max="1282" width="0" hidden="1" customWidth="1"/>
    <col min="1285" max="1285" width="8.85546875" customWidth="1"/>
    <col min="1286" max="1286" width="11.5703125" customWidth="1"/>
    <col min="1289" max="1289" width="9.5703125" customWidth="1"/>
    <col min="1292" max="1292" width="4.85546875" bestFit="1" customWidth="1"/>
    <col min="1293" max="1293" width="4.28515625" bestFit="1" customWidth="1"/>
    <col min="1294" max="1294" width="7.28515625" bestFit="1" customWidth="1"/>
    <col min="1295" max="1295" width="4.85546875" bestFit="1" customWidth="1"/>
    <col min="1296" max="1296" width="7.28515625" customWidth="1"/>
    <col min="1297" max="1297" width="10.85546875" customWidth="1"/>
    <col min="1298" max="1298" width="10.7109375" customWidth="1"/>
    <col min="1299" max="1299" width="0" hidden="1" customWidth="1"/>
    <col min="1300" max="1300" width="7.42578125" customWidth="1"/>
    <col min="1301" max="1301" width="4.7109375" customWidth="1"/>
    <col min="1302" max="1302" width="11" customWidth="1"/>
    <col min="1303" max="1303" width="11.85546875" customWidth="1"/>
    <col min="1304" max="1304" width="12.28515625" customWidth="1"/>
    <col min="1537" max="1537" width="12.28515625" customWidth="1"/>
    <col min="1538" max="1538" width="0" hidden="1" customWidth="1"/>
    <col min="1541" max="1541" width="8.85546875" customWidth="1"/>
    <col min="1542" max="1542" width="11.5703125" customWidth="1"/>
    <col min="1545" max="1545" width="9.5703125" customWidth="1"/>
    <col min="1548" max="1548" width="4.85546875" bestFit="1" customWidth="1"/>
    <col min="1549" max="1549" width="4.28515625" bestFit="1" customWidth="1"/>
    <col min="1550" max="1550" width="7.28515625" bestFit="1" customWidth="1"/>
    <col min="1551" max="1551" width="4.85546875" bestFit="1" customWidth="1"/>
    <col min="1552" max="1552" width="7.28515625" customWidth="1"/>
    <col min="1553" max="1553" width="10.85546875" customWidth="1"/>
    <col min="1554" max="1554" width="10.7109375" customWidth="1"/>
    <col min="1555" max="1555" width="0" hidden="1" customWidth="1"/>
    <col min="1556" max="1556" width="7.42578125" customWidth="1"/>
    <col min="1557" max="1557" width="4.7109375" customWidth="1"/>
    <col min="1558" max="1558" width="11" customWidth="1"/>
    <col min="1559" max="1559" width="11.85546875" customWidth="1"/>
    <col min="1560" max="1560" width="12.28515625" customWidth="1"/>
    <col min="1793" max="1793" width="12.28515625" customWidth="1"/>
    <col min="1794" max="1794" width="0" hidden="1" customWidth="1"/>
    <col min="1797" max="1797" width="8.85546875" customWidth="1"/>
    <col min="1798" max="1798" width="11.5703125" customWidth="1"/>
    <col min="1801" max="1801" width="9.5703125" customWidth="1"/>
    <col min="1804" max="1804" width="4.85546875" bestFit="1" customWidth="1"/>
    <col min="1805" max="1805" width="4.28515625" bestFit="1" customWidth="1"/>
    <col min="1806" max="1806" width="7.28515625" bestFit="1" customWidth="1"/>
    <col min="1807" max="1807" width="4.85546875" bestFit="1" customWidth="1"/>
    <col min="1808" max="1808" width="7.28515625" customWidth="1"/>
    <col min="1809" max="1809" width="10.85546875" customWidth="1"/>
    <col min="1810" max="1810" width="10.7109375" customWidth="1"/>
    <col min="1811" max="1811" width="0" hidden="1" customWidth="1"/>
    <col min="1812" max="1812" width="7.42578125" customWidth="1"/>
    <col min="1813" max="1813" width="4.7109375" customWidth="1"/>
    <col min="1814" max="1814" width="11" customWidth="1"/>
    <col min="1815" max="1815" width="11.85546875" customWidth="1"/>
    <col min="1816" max="1816" width="12.28515625" customWidth="1"/>
    <col min="2049" max="2049" width="12.28515625" customWidth="1"/>
    <col min="2050" max="2050" width="0" hidden="1" customWidth="1"/>
    <col min="2053" max="2053" width="8.85546875" customWidth="1"/>
    <col min="2054" max="2054" width="11.5703125" customWidth="1"/>
    <col min="2057" max="2057" width="9.5703125" customWidth="1"/>
    <col min="2060" max="2060" width="4.85546875" bestFit="1" customWidth="1"/>
    <col min="2061" max="2061" width="4.28515625" bestFit="1" customWidth="1"/>
    <col min="2062" max="2062" width="7.28515625" bestFit="1" customWidth="1"/>
    <col min="2063" max="2063" width="4.85546875" bestFit="1" customWidth="1"/>
    <col min="2064" max="2064" width="7.28515625" customWidth="1"/>
    <col min="2065" max="2065" width="10.85546875" customWidth="1"/>
    <col min="2066" max="2066" width="10.7109375" customWidth="1"/>
    <col min="2067" max="2067" width="0" hidden="1" customWidth="1"/>
    <col min="2068" max="2068" width="7.42578125" customWidth="1"/>
    <col min="2069" max="2069" width="4.7109375" customWidth="1"/>
    <col min="2070" max="2070" width="11" customWidth="1"/>
    <col min="2071" max="2071" width="11.85546875" customWidth="1"/>
    <col min="2072" max="2072" width="12.28515625" customWidth="1"/>
    <col min="2305" max="2305" width="12.28515625" customWidth="1"/>
    <col min="2306" max="2306" width="0" hidden="1" customWidth="1"/>
    <col min="2309" max="2309" width="8.85546875" customWidth="1"/>
    <col min="2310" max="2310" width="11.5703125" customWidth="1"/>
    <col min="2313" max="2313" width="9.5703125" customWidth="1"/>
    <col min="2316" max="2316" width="4.85546875" bestFit="1" customWidth="1"/>
    <col min="2317" max="2317" width="4.28515625" bestFit="1" customWidth="1"/>
    <col min="2318" max="2318" width="7.28515625" bestFit="1" customWidth="1"/>
    <col min="2319" max="2319" width="4.85546875" bestFit="1" customWidth="1"/>
    <col min="2320" max="2320" width="7.28515625" customWidth="1"/>
    <col min="2321" max="2321" width="10.85546875" customWidth="1"/>
    <col min="2322" max="2322" width="10.7109375" customWidth="1"/>
    <col min="2323" max="2323" width="0" hidden="1" customWidth="1"/>
    <col min="2324" max="2324" width="7.42578125" customWidth="1"/>
    <col min="2325" max="2325" width="4.7109375" customWidth="1"/>
    <col min="2326" max="2326" width="11" customWidth="1"/>
    <col min="2327" max="2327" width="11.85546875" customWidth="1"/>
    <col min="2328" max="2328" width="12.28515625" customWidth="1"/>
    <col min="2561" max="2561" width="12.28515625" customWidth="1"/>
    <col min="2562" max="2562" width="0" hidden="1" customWidth="1"/>
    <col min="2565" max="2565" width="8.85546875" customWidth="1"/>
    <col min="2566" max="2566" width="11.5703125" customWidth="1"/>
    <col min="2569" max="2569" width="9.5703125" customWidth="1"/>
    <col min="2572" max="2572" width="4.85546875" bestFit="1" customWidth="1"/>
    <col min="2573" max="2573" width="4.28515625" bestFit="1" customWidth="1"/>
    <col min="2574" max="2574" width="7.28515625" bestFit="1" customWidth="1"/>
    <col min="2575" max="2575" width="4.85546875" bestFit="1" customWidth="1"/>
    <col min="2576" max="2576" width="7.28515625" customWidth="1"/>
    <col min="2577" max="2577" width="10.85546875" customWidth="1"/>
    <col min="2578" max="2578" width="10.7109375" customWidth="1"/>
    <col min="2579" max="2579" width="0" hidden="1" customWidth="1"/>
    <col min="2580" max="2580" width="7.42578125" customWidth="1"/>
    <col min="2581" max="2581" width="4.7109375" customWidth="1"/>
    <col min="2582" max="2582" width="11" customWidth="1"/>
    <col min="2583" max="2583" width="11.85546875" customWidth="1"/>
    <col min="2584" max="2584" width="12.28515625" customWidth="1"/>
    <col min="2817" max="2817" width="12.28515625" customWidth="1"/>
    <col min="2818" max="2818" width="0" hidden="1" customWidth="1"/>
    <col min="2821" max="2821" width="8.85546875" customWidth="1"/>
    <col min="2822" max="2822" width="11.5703125" customWidth="1"/>
    <col min="2825" max="2825" width="9.5703125" customWidth="1"/>
    <col min="2828" max="2828" width="4.85546875" bestFit="1" customWidth="1"/>
    <col min="2829" max="2829" width="4.28515625" bestFit="1" customWidth="1"/>
    <col min="2830" max="2830" width="7.28515625" bestFit="1" customWidth="1"/>
    <col min="2831" max="2831" width="4.85546875" bestFit="1" customWidth="1"/>
    <col min="2832" max="2832" width="7.28515625" customWidth="1"/>
    <col min="2833" max="2833" width="10.85546875" customWidth="1"/>
    <col min="2834" max="2834" width="10.7109375" customWidth="1"/>
    <col min="2835" max="2835" width="0" hidden="1" customWidth="1"/>
    <col min="2836" max="2836" width="7.42578125" customWidth="1"/>
    <col min="2837" max="2837" width="4.7109375" customWidth="1"/>
    <col min="2838" max="2838" width="11" customWidth="1"/>
    <col min="2839" max="2839" width="11.85546875" customWidth="1"/>
    <col min="2840" max="2840" width="12.28515625" customWidth="1"/>
    <col min="3073" max="3073" width="12.28515625" customWidth="1"/>
    <col min="3074" max="3074" width="0" hidden="1" customWidth="1"/>
    <col min="3077" max="3077" width="8.85546875" customWidth="1"/>
    <col min="3078" max="3078" width="11.5703125" customWidth="1"/>
    <col min="3081" max="3081" width="9.5703125" customWidth="1"/>
    <col min="3084" max="3084" width="4.85546875" bestFit="1" customWidth="1"/>
    <col min="3085" max="3085" width="4.28515625" bestFit="1" customWidth="1"/>
    <col min="3086" max="3086" width="7.28515625" bestFit="1" customWidth="1"/>
    <col min="3087" max="3087" width="4.85546875" bestFit="1" customWidth="1"/>
    <col min="3088" max="3088" width="7.28515625" customWidth="1"/>
    <col min="3089" max="3089" width="10.85546875" customWidth="1"/>
    <col min="3090" max="3090" width="10.7109375" customWidth="1"/>
    <col min="3091" max="3091" width="0" hidden="1" customWidth="1"/>
    <col min="3092" max="3092" width="7.42578125" customWidth="1"/>
    <col min="3093" max="3093" width="4.7109375" customWidth="1"/>
    <col min="3094" max="3094" width="11" customWidth="1"/>
    <col min="3095" max="3095" width="11.85546875" customWidth="1"/>
    <col min="3096" max="3096" width="12.28515625" customWidth="1"/>
    <col min="3329" max="3329" width="12.28515625" customWidth="1"/>
    <col min="3330" max="3330" width="0" hidden="1" customWidth="1"/>
    <col min="3333" max="3333" width="8.85546875" customWidth="1"/>
    <col min="3334" max="3334" width="11.5703125" customWidth="1"/>
    <col min="3337" max="3337" width="9.5703125" customWidth="1"/>
    <col min="3340" max="3340" width="4.85546875" bestFit="1" customWidth="1"/>
    <col min="3341" max="3341" width="4.28515625" bestFit="1" customWidth="1"/>
    <col min="3342" max="3342" width="7.28515625" bestFit="1" customWidth="1"/>
    <col min="3343" max="3343" width="4.85546875" bestFit="1" customWidth="1"/>
    <col min="3344" max="3344" width="7.28515625" customWidth="1"/>
    <col min="3345" max="3345" width="10.85546875" customWidth="1"/>
    <col min="3346" max="3346" width="10.7109375" customWidth="1"/>
    <col min="3347" max="3347" width="0" hidden="1" customWidth="1"/>
    <col min="3348" max="3348" width="7.42578125" customWidth="1"/>
    <col min="3349" max="3349" width="4.7109375" customWidth="1"/>
    <col min="3350" max="3350" width="11" customWidth="1"/>
    <col min="3351" max="3351" width="11.85546875" customWidth="1"/>
    <col min="3352" max="3352" width="12.28515625" customWidth="1"/>
    <col min="3585" max="3585" width="12.28515625" customWidth="1"/>
    <col min="3586" max="3586" width="0" hidden="1" customWidth="1"/>
    <col min="3589" max="3589" width="8.85546875" customWidth="1"/>
    <col min="3590" max="3590" width="11.5703125" customWidth="1"/>
    <col min="3593" max="3593" width="9.5703125" customWidth="1"/>
    <col min="3596" max="3596" width="4.85546875" bestFit="1" customWidth="1"/>
    <col min="3597" max="3597" width="4.28515625" bestFit="1" customWidth="1"/>
    <col min="3598" max="3598" width="7.28515625" bestFit="1" customWidth="1"/>
    <col min="3599" max="3599" width="4.85546875" bestFit="1" customWidth="1"/>
    <col min="3600" max="3600" width="7.28515625" customWidth="1"/>
    <col min="3601" max="3601" width="10.85546875" customWidth="1"/>
    <col min="3602" max="3602" width="10.7109375" customWidth="1"/>
    <col min="3603" max="3603" width="0" hidden="1" customWidth="1"/>
    <col min="3604" max="3604" width="7.42578125" customWidth="1"/>
    <col min="3605" max="3605" width="4.7109375" customWidth="1"/>
    <col min="3606" max="3606" width="11" customWidth="1"/>
    <col min="3607" max="3607" width="11.85546875" customWidth="1"/>
    <col min="3608" max="3608" width="12.28515625" customWidth="1"/>
    <col min="3841" max="3841" width="12.28515625" customWidth="1"/>
    <col min="3842" max="3842" width="0" hidden="1" customWidth="1"/>
    <col min="3845" max="3845" width="8.85546875" customWidth="1"/>
    <col min="3846" max="3846" width="11.5703125" customWidth="1"/>
    <col min="3849" max="3849" width="9.5703125" customWidth="1"/>
    <col min="3852" max="3852" width="4.85546875" bestFit="1" customWidth="1"/>
    <col min="3853" max="3853" width="4.28515625" bestFit="1" customWidth="1"/>
    <col min="3854" max="3854" width="7.28515625" bestFit="1" customWidth="1"/>
    <col min="3855" max="3855" width="4.85546875" bestFit="1" customWidth="1"/>
    <col min="3856" max="3856" width="7.28515625" customWidth="1"/>
    <col min="3857" max="3857" width="10.85546875" customWidth="1"/>
    <col min="3858" max="3858" width="10.7109375" customWidth="1"/>
    <col min="3859" max="3859" width="0" hidden="1" customWidth="1"/>
    <col min="3860" max="3860" width="7.42578125" customWidth="1"/>
    <col min="3861" max="3861" width="4.7109375" customWidth="1"/>
    <col min="3862" max="3862" width="11" customWidth="1"/>
    <col min="3863" max="3863" width="11.85546875" customWidth="1"/>
    <col min="3864" max="3864" width="12.28515625" customWidth="1"/>
    <col min="4097" max="4097" width="12.28515625" customWidth="1"/>
    <col min="4098" max="4098" width="0" hidden="1" customWidth="1"/>
    <col min="4101" max="4101" width="8.85546875" customWidth="1"/>
    <col min="4102" max="4102" width="11.5703125" customWidth="1"/>
    <col min="4105" max="4105" width="9.5703125" customWidth="1"/>
    <col min="4108" max="4108" width="4.85546875" bestFit="1" customWidth="1"/>
    <col min="4109" max="4109" width="4.28515625" bestFit="1" customWidth="1"/>
    <col min="4110" max="4110" width="7.28515625" bestFit="1" customWidth="1"/>
    <col min="4111" max="4111" width="4.85546875" bestFit="1" customWidth="1"/>
    <col min="4112" max="4112" width="7.28515625" customWidth="1"/>
    <col min="4113" max="4113" width="10.85546875" customWidth="1"/>
    <col min="4114" max="4114" width="10.7109375" customWidth="1"/>
    <col min="4115" max="4115" width="0" hidden="1" customWidth="1"/>
    <col min="4116" max="4116" width="7.42578125" customWidth="1"/>
    <col min="4117" max="4117" width="4.7109375" customWidth="1"/>
    <col min="4118" max="4118" width="11" customWidth="1"/>
    <col min="4119" max="4119" width="11.85546875" customWidth="1"/>
    <col min="4120" max="4120" width="12.28515625" customWidth="1"/>
    <col min="4353" max="4353" width="12.28515625" customWidth="1"/>
    <col min="4354" max="4354" width="0" hidden="1" customWidth="1"/>
    <col min="4357" max="4357" width="8.85546875" customWidth="1"/>
    <col min="4358" max="4358" width="11.5703125" customWidth="1"/>
    <col min="4361" max="4361" width="9.5703125" customWidth="1"/>
    <col min="4364" max="4364" width="4.85546875" bestFit="1" customWidth="1"/>
    <col min="4365" max="4365" width="4.28515625" bestFit="1" customWidth="1"/>
    <col min="4366" max="4366" width="7.28515625" bestFit="1" customWidth="1"/>
    <col min="4367" max="4367" width="4.85546875" bestFit="1" customWidth="1"/>
    <col min="4368" max="4368" width="7.28515625" customWidth="1"/>
    <col min="4369" max="4369" width="10.85546875" customWidth="1"/>
    <col min="4370" max="4370" width="10.7109375" customWidth="1"/>
    <col min="4371" max="4371" width="0" hidden="1" customWidth="1"/>
    <col min="4372" max="4372" width="7.42578125" customWidth="1"/>
    <col min="4373" max="4373" width="4.7109375" customWidth="1"/>
    <col min="4374" max="4374" width="11" customWidth="1"/>
    <col min="4375" max="4375" width="11.85546875" customWidth="1"/>
    <col min="4376" max="4376" width="12.28515625" customWidth="1"/>
    <col min="4609" max="4609" width="12.28515625" customWidth="1"/>
    <col min="4610" max="4610" width="0" hidden="1" customWidth="1"/>
    <col min="4613" max="4613" width="8.85546875" customWidth="1"/>
    <col min="4614" max="4614" width="11.5703125" customWidth="1"/>
    <col min="4617" max="4617" width="9.5703125" customWidth="1"/>
    <col min="4620" max="4620" width="4.85546875" bestFit="1" customWidth="1"/>
    <col min="4621" max="4621" width="4.28515625" bestFit="1" customWidth="1"/>
    <col min="4622" max="4622" width="7.28515625" bestFit="1" customWidth="1"/>
    <col min="4623" max="4623" width="4.85546875" bestFit="1" customWidth="1"/>
    <col min="4624" max="4624" width="7.28515625" customWidth="1"/>
    <col min="4625" max="4625" width="10.85546875" customWidth="1"/>
    <col min="4626" max="4626" width="10.7109375" customWidth="1"/>
    <col min="4627" max="4627" width="0" hidden="1" customWidth="1"/>
    <col min="4628" max="4628" width="7.42578125" customWidth="1"/>
    <col min="4629" max="4629" width="4.7109375" customWidth="1"/>
    <col min="4630" max="4630" width="11" customWidth="1"/>
    <col min="4631" max="4631" width="11.85546875" customWidth="1"/>
    <col min="4632" max="4632" width="12.28515625" customWidth="1"/>
    <col min="4865" max="4865" width="12.28515625" customWidth="1"/>
    <col min="4866" max="4866" width="0" hidden="1" customWidth="1"/>
    <col min="4869" max="4869" width="8.85546875" customWidth="1"/>
    <col min="4870" max="4870" width="11.5703125" customWidth="1"/>
    <col min="4873" max="4873" width="9.5703125" customWidth="1"/>
    <col min="4876" max="4876" width="4.85546875" bestFit="1" customWidth="1"/>
    <col min="4877" max="4877" width="4.28515625" bestFit="1" customWidth="1"/>
    <col min="4878" max="4878" width="7.28515625" bestFit="1" customWidth="1"/>
    <col min="4879" max="4879" width="4.85546875" bestFit="1" customWidth="1"/>
    <col min="4880" max="4880" width="7.28515625" customWidth="1"/>
    <col min="4881" max="4881" width="10.85546875" customWidth="1"/>
    <col min="4882" max="4882" width="10.7109375" customWidth="1"/>
    <col min="4883" max="4883" width="0" hidden="1" customWidth="1"/>
    <col min="4884" max="4884" width="7.42578125" customWidth="1"/>
    <col min="4885" max="4885" width="4.7109375" customWidth="1"/>
    <col min="4886" max="4886" width="11" customWidth="1"/>
    <col min="4887" max="4887" width="11.85546875" customWidth="1"/>
    <col min="4888" max="4888" width="12.28515625" customWidth="1"/>
    <col min="5121" max="5121" width="12.28515625" customWidth="1"/>
    <col min="5122" max="5122" width="0" hidden="1" customWidth="1"/>
    <col min="5125" max="5125" width="8.85546875" customWidth="1"/>
    <col min="5126" max="5126" width="11.5703125" customWidth="1"/>
    <col min="5129" max="5129" width="9.5703125" customWidth="1"/>
    <col min="5132" max="5132" width="4.85546875" bestFit="1" customWidth="1"/>
    <col min="5133" max="5133" width="4.28515625" bestFit="1" customWidth="1"/>
    <col min="5134" max="5134" width="7.28515625" bestFit="1" customWidth="1"/>
    <col min="5135" max="5135" width="4.85546875" bestFit="1" customWidth="1"/>
    <col min="5136" max="5136" width="7.28515625" customWidth="1"/>
    <col min="5137" max="5137" width="10.85546875" customWidth="1"/>
    <col min="5138" max="5138" width="10.7109375" customWidth="1"/>
    <col min="5139" max="5139" width="0" hidden="1" customWidth="1"/>
    <col min="5140" max="5140" width="7.42578125" customWidth="1"/>
    <col min="5141" max="5141" width="4.7109375" customWidth="1"/>
    <col min="5142" max="5142" width="11" customWidth="1"/>
    <col min="5143" max="5143" width="11.85546875" customWidth="1"/>
    <col min="5144" max="5144" width="12.28515625" customWidth="1"/>
    <col min="5377" max="5377" width="12.28515625" customWidth="1"/>
    <col min="5378" max="5378" width="0" hidden="1" customWidth="1"/>
    <col min="5381" max="5381" width="8.85546875" customWidth="1"/>
    <col min="5382" max="5382" width="11.5703125" customWidth="1"/>
    <col min="5385" max="5385" width="9.5703125" customWidth="1"/>
    <col min="5388" max="5388" width="4.85546875" bestFit="1" customWidth="1"/>
    <col min="5389" max="5389" width="4.28515625" bestFit="1" customWidth="1"/>
    <col min="5390" max="5390" width="7.28515625" bestFit="1" customWidth="1"/>
    <col min="5391" max="5391" width="4.85546875" bestFit="1" customWidth="1"/>
    <col min="5392" max="5392" width="7.28515625" customWidth="1"/>
    <col min="5393" max="5393" width="10.85546875" customWidth="1"/>
    <col min="5394" max="5394" width="10.7109375" customWidth="1"/>
    <col min="5395" max="5395" width="0" hidden="1" customWidth="1"/>
    <col min="5396" max="5396" width="7.42578125" customWidth="1"/>
    <col min="5397" max="5397" width="4.7109375" customWidth="1"/>
    <col min="5398" max="5398" width="11" customWidth="1"/>
    <col min="5399" max="5399" width="11.85546875" customWidth="1"/>
    <col min="5400" max="5400" width="12.28515625" customWidth="1"/>
    <col min="5633" max="5633" width="12.28515625" customWidth="1"/>
    <col min="5634" max="5634" width="0" hidden="1" customWidth="1"/>
    <col min="5637" max="5637" width="8.85546875" customWidth="1"/>
    <col min="5638" max="5638" width="11.5703125" customWidth="1"/>
    <col min="5641" max="5641" width="9.5703125" customWidth="1"/>
    <col min="5644" max="5644" width="4.85546875" bestFit="1" customWidth="1"/>
    <col min="5645" max="5645" width="4.28515625" bestFit="1" customWidth="1"/>
    <col min="5646" max="5646" width="7.28515625" bestFit="1" customWidth="1"/>
    <col min="5647" max="5647" width="4.85546875" bestFit="1" customWidth="1"/>
    <col min="5648" max="5648" width="7.28515625" customWidth="1"/>
    <col min="5649" max="5649" width="10.85546875" customWidth="1"/>
    <col min="5650" max="5650" width="10.7109375" customWidth="1"/>
    <col min="5651" max="5651" width="0" hidden="1" customWidth="1"/>
    <col min="5652" max="5652" width="7.42578125" customWidth="1"/>
    <col min="5653" max="5653" width="4.7109375" customWidth="1"/>
    <col min="5654" max="5654" width="11" customWidth="1"/>
    <col min="5655" max="5655" width="11.85546875" customWidth="1"/>
    <col min="5656" max="5656" width="12.28515625" customWidth="1"/>
    <col min="5889" max="5889" width="12.28515625" customWidth="1"/>
    <col min="5890" max="5890" width="0" hidden="1" customWidth="1"/>
    <col min="5893" max="5893" width="8.85546875" customWidth="1"/>
    <col min="5894" max="5894" width="11.5703125" customWidth="1"/>
    <col min="5897" max="5897" width="9.5703125" customWidth="1"/>
    <col min="5900" max="5900" width="4.85546875" bestFit="1" customWidth="1"/>
    <col min="5901" max="5901" width="4.28515625" bestFit="1" customWidth="1"/>
    <col min="5902" max="5902" width="7.28515625" bestFit="1" customWidth="1"/>
    <col min="5903" max="5903" width="4.85546875" bestFit="1" customWidth="1"/>
    <col min="5904" max="5904" width="7.28515625" customWidth="1"/>
    <col min="5905" max="5905" width="10.85546875" customWidth="1"/>
    <col min="5906" max="5906" width="10.7109375" customWidth="1"/>
    <col min="5907" max="5907" width="0" hidden="1" customWidth="1"/>
    <col min="5908" max="5908" width="7.42578125" customWidth="1"/>
    <col min="5909" max="5909" width="4.7109375" customWidth="1"/>
    <col min="5910" max="5910" width="11" customWidth="1"/>
    <col min="5911" max="5911" width="11.85546875" customWidth="1"/>
    <col min="5912" max="5912" width="12.28515625" customWidth="1"/>
    <col min="6145" max="6145" width="12.28515625" customWidth="1"/>
    <col min="6146" max="6146" width="0" hidden="1" customWidth="1"/>
    <col min="6149" max="6149" width="8.85546875" customWidth="1"/>
    <col min="6150" max="6150" width="11.5703125" customWidth="1"/>
    <col min="6153" max="6153" width="9.5703125" customWidth="1"/>
    <col min="6156" max="6156" width="4.85546875" bestFit="1" customWidth="1"/>
    <col min="6157" max="6157" width="4.28515625" bestFit="1" customWidth="1"/>
    <col min="6158" max="6158" width="7.28515625" bestFit="1" customWidth="1"/>
    <col min="6159" max="6159" width="4.85546875" bestFit="1" customWidth="1"/>
    <col min="6160" max="6160" width="7.28515625" customWidth="1"/>
    <col min="6161" max="6161" width="10.85546875" customWidth="1"/>
    <col min="6162" max="6162" width="10.7109375" customWidth="1"/>
    <col min="6163" max="6163" width="0" hidden="1" customWidth="1"/>
    <col min="6164" max="6164" width="7.42578125" customWidth="1"/>
    <col min="6165" max="6165" width="4.7109375" customWidth="1"/>
    <col min="6166" max="6166" width="11" customWidth="1"/>
    <col min="6167" max="6167" width="11.85546875" customWidth="1"/>
    <col min="6168" max="6168" width="12.28515625" customWidth="1"/>
    <col min="6401" max="6401" width="12.28515625" customWidth="1"/>
    <col min="6402" max="6402" width="0" hidden="1" customWidth="1"/>
    <col min="6405" max="6405" width="8.85546875" customWidth="1"/>
    <col min="6406" max="6406" width="11.5703125" customWidth="1"/>
    <col min="6409" max="6409" width="9.5703125" customWidth="1"/>
    <col min="6412" max="6412" width="4.85546875" bestFit="1" customWidth="1"/>
    <col min="6413" max="6413" width="4.28515625" bestFit="1" customWidth="1"/>
    <col min="6414" max="6414" width="7.28515625" bestFit="1" customWidth="1"/>
    <col min="6415" max="6415" width="4.85546875" bestFit="1" customWidth="1"/>
    <col min="6416" max="6416" width="7.28515625" customWidth="1"/>
    <col min="6417" max="6417" width="10.85546875" customWidth="1"/>
    <col min="6418" max="6418" width="10.7109375" customWidth="1"/>
    <col min="6419" max="6419" width="0" hidden="1" customWidth="1"/>
    <col min="6420" max="6420" width="7.42578125" customWidth="1"/>
    <col min="6421" max="6421" width="4.7109375" customWidth="1"/>
    <col min="6422" max="6422" width="11" customWidth="1"/>
    <col min="6423" max="6423" width="11.85546875" customWidth="1"/>
    <col min="6424" max="6424" width="12.28515625" customWidth="1"/>
    <col min="6657" max="6657" width="12.28515625" customWidth="1"/>
    <col min="6658" max="6658" width="0" hidden="1" customWidth="1"/>
    <col min="6661" max="6661" width="8.85546875" customWidth="1"/>
    <col min="6662" max="6662" width="11.5703125" customWidth="1"/>
    <col min="6665" max="6665" width="9.5703125" customWidth="1"/>
    <col min="6668" max="6668" width="4.85546875" bestFit="1" customWidth="1"/>
    <col min="6669" max="6669" width="4.28515625" bestFit="1" customWidth="1"/>
    <col min="6670" max="6670" width="7.28515625" bestFit="1" customWidth="1"/>
    <col min="6671" max="6671" width="4.85546875" bestFit="1" customWidth="1"/>
    <col min="6672" max="6672" width="7.28515625" customWidth="1"/>
    <col min="6673" max="6673" width="10.85546875" customWidth="1"/>
    <col min="6674" max="6674" width="10.7109375" customWidth="1"/>
    <col min="6675" max="6675" width="0" hidden="1" customWidth="1"/>
    <col min="6676" max="6676" width="7.42578125" customWidth="1"/>
    <col min="6677" max="6677" width="4.7109375" customWidth="1"/>
    <col min="6678" max="6678" width="11" customWidth="1"/>
    <col min="6679" max="6679" width="11.85546875" customWidth="1"/>
    <col min="6680" max="6680" width="12.28515625" customWidth="1"/>
    <col min="6913" max="6913" width="12.28515625" customWidth="1"/>
    <col min="6914" max="6914" width="0" hidden="1" customWidth="1"/>
    <col min="6917" max="6917" width="8.85546875" customWidth="1"/>
    <col min="6918" max="6918" width="11.5703125" customWidth="1"/>
    <col min="6921" max="6921" width="9.5703125" customWidth="1"/>
    <col min="6924" max="6924" width="4.85546875" bestFit="1" customWidth="1"/>
    <col min="6925" max="6925" width="4.28515625" bestFit="1" customWidth="1"/>
    <col min="6926" max="6926" width="7.28515625" bestFit="1" customWidth="1"/>
    <col min="6927" max="6927" width="4.85546875" bestFit="1" customWidth="1"/>
    <col min="6928" max="6928" width="7.28515625" customWidth="1"/>
    <col min="6929" max="6929" width="10.85546875" customWidth="1"/>
    <col min="6930" max="6930" width="10.7109375" customWidth="1"/>
    <col min="6931" max="6931" width="0" hidden="1" customWidth="1"/>
    <col min="6932" max="6932" width="7.42578125" customWidth="1"/>
    <col min="6933" max="6933" width="4.7109375" customWidth="1"/>
    <col min="6934" max="6934" width="11" customWidth="1"/>
    <col min="6935" max="6935" width="11.85546875" customWidth="1"/>
    <col min="6936" max="6936" width="12.28515625" customWidth="1"/>
    <col min="7169" max="7169" width="12.28515625" customWidth="1"/>
    <col min="7170" max="7170" width="0" hidden="1" customWidth="1"/>
    <col min="7173" max="7173" width="8.85546875" customWidth="1"/>
    <col min="7174" max="7174" width="11.5703125" customWidth="1"/>
    <col min="7177" max="7177" width="9.5703125" customWidth="1"/>
    <col min="7180" max="7180" width="4.85546875" bestFit="1" customWidth="1"/>
    <col min="7181" max="7181" width="4.28515625" bestFit="1" customWidth="1"/>
    <col min="7182" max="7182" width="7.28515625" bestFit="1" customWidth="1"/>
    <col min="7183" max="7183" width="4.85546875" bestFit="1" customWidth="1"/>
    <col min="7184" max="7184" width="7.28515625" customWidth="1"/>
    <col min="7185" max="7185" width="10.85546875" customWidth="1"/>
    <col min="7186" max="7186" width="10.7109375" customWidth="1"/>
    <col min="7187" max="7187" width="0" hidden="1" customWidth="1"/>
    <col min="7188" max="7188" width="7.42578125" customWidth="1"/>
    <col min="7189" max="7189" width="4.7109375" customWidth="1"/>
    <col min="7190" max="7190" width="11" customWidth="1"/>
    <col min="7191" max="7191" width="11.85546875" customWidth="1"/>
    <col min="7192" max="7192" width="12.28515625" customWidth="1"/>
    <col min="7425" max="7425" width="12.28515625" customWidth="1"/>
    <col min="7426" max="7426" width="0" hidden="1" customWidth="1"/>
    <col min="7429" max="7429" width="8.85546875" customWidth="1"/>
    <col min="7430" max="7430" width="11.5703125" customWidth="1"/>
    <col min="7433" max="7433" width="9.5703125" customWidth="1"/>
    <col min="7436" max="7436" width="4.85546875" bestFit="1" customWidth="1"/>
    <col min="7437" max="7437" width="4.28515625" bestFit="1" customWidth="1"/>
    <col min="7438" max="7438" width="7.28515625" bestFit="1" customWidth="1"/>
    <col min="7439" max="7439" width="4.85546875" bestFit="1" customWidth="1"/>
    <col min="7440" max="7440" width="7.28515625" customWidth="1"/>
    <col min="7441" max="7441" width="10.85546875" customWidth="1"/>
    <col min="7442" max="7442" width="10.7109375" customWidth="1"/>
    <col min="7443" max="7443" width="0" hidden="1" customWidth="1"/>
    <col min="7444" max="7444" width="7.42578125" customWidth="1"/>
    <col min="7445" max="7445" width="4.7109375" customWidth="1"/>
    <col min="7446" max="7446" width="11" customWidth="1"/>
    <col min="7447" max="7447" width="11.85546875" customWidth="1"/>
    <col min="7448" max="7448" width="12.28515625" customWidth="1"/>
    <col min="7681" max="7681" width="12.28515625" customWidth="1"/>
    <col min="7682" max="7682" width="0" hidden="1" customWidth="1"/>
    <col min="7685" max="7685" width="8.85546875" customWidth="1"/>
    <col min="7686" max="7686" width="11.5703125" customWidth="1"/>
    <col min="7689" max="7689" width="9.5703125" customWidth="1"/>
    <col min="7692" max="7692" width="4.85546875" bestFit="1" customWidth="1"/>
    <col min="7693" max="7693" width="4.28515625" bestFit="1" customWidth="1"/>
    <col min="7694" max="7694" width="7.28515625" bestFit="1" customWidth="1"/>
    <col min="7695" max="7695" width="4.85546875" bestFit="1" customWidth="1"/>
    <col min="7696" max="7696" width="7.28515625" customWidth="1"/>
    <col min="7697" max="7697" width="10.85546875" customWidth="1"/>
    <col min="7698" max="7698" width="10.7109375" customWidth="1"/>
    <col min="7699" max="7699" width="0" hidden="1" customWidth="1"/>
    <col min="7700" max="7700" width="7.42578125" customWidth="1"/>
    <col min="7701" max="7701" width="4.7109375" customWidth="1"/>
    <col min="7702" max="7702" width="11" customWidth="1"/>
    <col min="7703" max="7703" width="11.85546875" customWidth="1"/>
    <col min="7704" max="7704" width="12.28515625" customWidth="1"/>
    <col min="7937" max="7937" width="12.28515625" customWidth="1"/>
    <col min="7938" max="7938" width="0" hidden="1" customWidth="1"/>
    <col min="7941" max="7941" width="8.85546875" customWidth="1"/>
    <col min="7942" max="7942" width="11.5703125" customWidth="1"/>
    <col min="7945" max="7945" width="9.5703125" customWidth="1"/>
    <col min="7948" max="7948" width="4.85546875" bestFit="1" customWidth="1"/>
    <col min="7949" max="7949" width="4.28515625" bestFit="1" customWidth="1"/>
    <col min="7950" max="7950" width="7.28515625" bestFit="1" customWidth="1"/>
    <col min="7951" max="7951" width="4.85546875" bestFit="1" customWidth="1"/>
    <col min="7952" max="7952" width="7.28515625" customWidth="1"/>
    <col min="7953" max="7953" width="10.85546875" customWidth="1"/>
    <col min="7954" max="7954" width="10.7109375" customWidth="1"/>
    <col min="7955" max="7955" width="0" hidden="1" customWidth="1"/>
    <col min="7956" max="7956" width="7.42578125" customWidth="1"/>
    <col min="7957" max="7957" width="4.7109375" customWidth="1"/>
    <col min="7958" max="7958" width="11" customWidth="1"/>
    <col min="7959" max="7959" width="11.85546875" customWidth="1"/>
    <col min="7960" max="7960" width="12.28515625" customWidth="1"/>
    <col min="8193" max="8193" width="12.28515625" customWidth="1"/>
    <col min="8194" max="8194" width="0" hidden="1" customWidth="1"/>
    <col min="8197" max="8197" width="8.85546875" customWidth="1"/>
    <col min="8198" max="8198" width="11.5703125" customWidth="1"/>
    <col min="8201" max="8201" width="9.5703125" customWidth="1"/>
    <col min="8204" max="8204" width="4.85546875" bestFit="1" customWidth="1"/>
    <col min="8205" max="8205" width="4.28515625" bestFit="1" customWidth="1"/>
    <col min="8206" max="8206" width="7.28515625" bestFit="1" customWidth="1"/>
    <col min="8207" max="8207" width="4.85546875" bestFit="1" customWidth="1"/>
    <col min="8208" max="8208" width="7.28515625" customWidth="1"/>
    <col min="8209" max="8209" width="10.85546875" customWidth="1"/>
    <col min="8210" max="8210" width="10.7109375" customWidth="1"/>
    <col min="8211" max="8211" width="0" hidden="1" customWidth="1"/>
    <col min="8212" max="8212" width="7.42578125" customWidth="1"/>
    <col min="8213" max="8213" width="4.7109375" customWidth="1"/>
    <col min="8214" max="8214" width="11" customWidth="1"/>
    <col min="8215" max="8215" width="11.85546875" customWidth="1"/>
    <col min="8216" max="8216" width="12.28515625" customWidth="1"/>
    <col min="8449" max="8449" width="12.28515625" customWidth="1"/>
    <col min="8450" max="8450" width="0" hidden="1" customWidth="1"/>
    <col min="8453" max="8453" width="8.85546875" customWidth="1"/>
    <col min="8454" max="8454" width="11.5703125" customWidth="1"/>
    <col min="8457" max="8457" width="9.5703125" customWidth="1"/>
    <col min="8460" max="8460" width="4.85546875" bestFit="1" customWidth="1"/>
    <col min="8461" max="8461" width="4.28515625" bestFit="1" customWidth="1"/>
    <col min="8462" max="8462" width="7.28515625" bestFit="1" customWidth="1"/>
    <col min="8463" max="8463" width="4.85546875" bestFit="1" customWidth="1"/>
    <col min="8464" max="8464" width="7.28515625" customWidth="1"/>
    <col min="8465" max="8465" width="10.85546875" customWidth="1"/>
    <col min="8466" max="8466" width="10.7109375" customWidth="1"/>
    <col min="8467" max="8467" width="0" hidden="1" customWidth="1"/>
    <col min="8468" max="8468" width="7.42578125" customWidth="1"/>
    <col min="8469" max="8469" width="4.7109375" customWidth="1"/>
    <col min="8470" max="8470" width="11" customWidth="1"/>
    <col min="8471" max="8471" width="11.85546875" customWidth="1"/>
    <col min="8472" max="8472" width="12.28515625" customWidth="1"/>
    <col min="8705" max="8705" width="12.28515625" customWidth="1"/>
    <col min="8706" max="8706" width="0" hidden="1" customWidth="1"/>
    <col min="8709" max="8709" width="8.85546875" customWidth="1"/>
    <col min="8710" max="8710" width="11.5703125" customWidth="1"/>
    <col min="8713" max="8713" width="9.5703125" customWidth="1"/>
    <col min="8716" max="8716" width="4.85546875" bestFit="1" customWidth="1"/>
    <col min="8717" max="8717" width="4.28515625" bestFit="1" customWidth="1"/>
    <col min="8718" max="8718" width="7.28515625" bestFit="1" customWidth="1"/>
    <col min="8719" max="8719" width="4.85546875" bestFit="1" customWidth="1"/>
    <col min="8720" max="8720" width="7.28515625" customWidth="1"/>
    <col min="8721" max="8721" width="10.85546875" customWidth="1"/>
    <col min="8722" max="8722" width="10.7109375" customWidth="1"/>
    <col min="8723" max="8723" width="0" hidden="1" customWidth="1"/>
    <col min="8724" max="8724" width="7.42578125" customWidth="1"/>
    <col min="8725" max="8725" width="4.7109375" customWidth="1"/>
    <col min="8726" max="8726" width="11" customWidth="1"/>
    <col min="8727" max="8727" width="11.85546875" customWidth="1"/>
    <col min="8728" max="8728" width="12.28515625" customWidth="1"/>
    <col min="8961" max="8961" width="12.28515625" customWidth="1"/>
    <col min="8962" max="8962" width="0" hidden="1" customWidth="1"/>
    <col min="8965" max="8965" width="8.85546875" customWidth="1"/>
    <col min="8966" max="8966" width="11.5703125" customWidth="1"/>
    <col min="8969" max="8969" width="9.5703125" customWidth="1"/>
    <col min="8972" max="8972" width="4.85546875" bestFit="1" customWidth="1"/>
    <col min="8973" max="8973" width="4.28515625" bestFit="1" customWidth="1"/>
    <col min="8974" max="8974" width="7.28515625" bestFit="1" customWidth="1"/>
    <col min="8975" max="8975" width="4.85546875" bestFit="1" customWidth="1"/>
    <col min="8976" max="8976" width="7.28515625" customWidth="1"/>
    <col min="8977" max="8977" width="10.85546875" customWidth="1"/>
    <col min="8978" max="8978" width="10.7109375" customWidth="1"/>
    <col min="8979" max="8979" width="0" hidden="1" customWidth="1"/>
    <col min="8980" max="8980" width="7.42578125" customWidth="1"/>
    <col min="8981" max="8981" width="4.7109375" customWidth="1"/>
    <col min="8982" max="8982" width="11" customWidth="1"/>
    <col min="8983" max="8983" width="11.85546875" customWidth="1"/>
    <col min="8984" max="8984" width="12.28515625" customWidth="1"/>
    <col min="9217" max="9217" width="12.28515625" customWidth="1"/>
    <col min="9218" max="9218" width="0" hidden="1" customWidth="1"/>
    <col min="9221" max="9221" width="8.85546875" customWidth="1"/>
    <col min="9222" max="9222" width="11.5703125" customWidth="1"/>
    <col min="9225" max="9225" width="9.5703125" customWidth="1"/>
    <col min="9228" max="9228" width="4.85546875" bestFit="1" customWidth="1"/>
    <col min="9229" max="9229" width="4.28515625" bestFit="1" customWidth="1"/>
    <col min="9230" max="9230" width="7.28515625" bestFit="1" customWidth="1"/>
    <col min="9231" max="9231" width="4.85546875" bestFit="1" customWidth="1"/>
    <col min="9232" max="9232" width="7.28515625" customWidth="1"/>
    <col min="9233" max="9233" width="10.85546875" customWidth="1"/>
    <col min="9234" max="9234" width="10.7109375" customWidth="1"/>
    <col min="9235" max="9235" width="0" hidden="1" customWidth="1"/>
    <col min="9236" max="9236" width="7.42578125" customWidth="1"/>
    <col min="9237" max="9237" width="4.7109375" customWidth="1"/>
    <col min="9238" max="9238" width="11" customWidth="1"/>
    <col min="9239" max="9239" width="11.85546875" customWidth="1"/>
    <col min="9240" max="9240" width="12.28515625" customWidth="1"/>
    <col min="9473" max="9473" width="12.28515625" customWidth="1"/>
    <col min="9474" max="9474" width="0" hidden="1" customWidth="1"/>
    <col min="9477" max="9477" width="8.85546875" customWidth="1"/>
    <col min="9478" max="9478" width="11.5703125" customWidth="1"/>
    <col min="9481" max="9481" width="9.5703125" customWidth="1"/>
    <col min="9484" max="9484" width="4.85546875" bestFit="1" customWidth="1"/>
    <col min="9485" max="9485" width="4.28515625" bestFit="1" customWidth="1"/>
    <col min="9486" max="9486" width="7.28515625" bestFit="1" customWidth="1"/>
    <col min="9487" max="9487" width="4.85546875" bestFit="1" customWidth="1"/>
    <col min="9488" max="9488" width="7.28515625" customWidth="1"/>
    <col min="9489" max="9489" width="10.85546875" customWidth="1"/>
    <col min="9490" max="9490" width="10.7109375" customWidth="1"/>
    <col min="9491" max="9491" width="0" hidden="1" customWidth="1"/>
    <col min="9492" max="9492" width="7.42578125" customWidth="1"/>
    <col min="9493" max="9493" width="4.7109375" customWidth="1"/>
    <col min="9494" max="9494" width="11" customWidth="1"/>
    <col min="9495" max="9495" width="11.85546875" customWidth="1"/>
    <col min="9496" max="9496" width="12.28515625" customWidth="1"/>
    <col min="9729" max="9729" width="12.28515625" customWidth="1"/>
    <col min="9730" max="9730" width="0" hidden="1" customWidth="1"/>
    <col min="9733" max="9733" width="8.85546875" customWidth="1"/>
    <col min="9734" max="9734" width="11.5703125" customWidth="1"/>
    <col min="9737" max="9737" width="9.5703125" customWidth="1"/>
    <col min="9740" max="9740" width="4.85546875" bestFit="1" customWidth="1"/>
    <col min="9741" max="9741" width="4.28515625" bestFit="1" customWidth="1"/>
    <col min="9742" max="9742" width="7.28515625" bestFit="1" customWidth="1"/>
    <col min="9743" max="9743" width="4.85546875" bestFit="1" customWidth="1"/>
    <col min="9744" max="9744" width="7.28515625" customWidth="1"/>
    <col min="9745" max="9745" width="10.85546875" customWidth="1"/>
    <col min="9746" max="9746" width="10.7109375" customWidth="1"/>
    <col min="9747" max="9747" width="0" hidden="1" customWidth="1"/>
    <col min="9748" max="9748" width="7.42578125" customWidth="1"/>
    <col min="9749" max="9749" width="4.7109375" customWidth="1"/>
    <col min="9750" max="9750" width="11" customWidth="1"/>
    <col min="9751" max="9751" width="11.85546875" customWidth="1"/>
    <col min="9752" max="9752" width="12.28515625" customWidth="1"/>
    <col min="9985" max="9985" width="12.28515625" customWidth="1"/>
    <col min="9986" max="9986" width="0" hidden="1" customWidth="1"/>
    <col min="9989" max="9989" width="8.85546875" customWidth="1"/>
    <col min="9990" max="9990" width="11.5703125" customWidth="1"/>
    <col min="9993" max="9993" width="9.5703125" customWidth="1"/>
    <col min="9996" max="9996" width="4.85546875" bestFit="1" customWidth="1"/>
    <col min="9997" max="9997" width="4.28515625" bestFit="1" customWidth="1"/>
    <col min="9998" max="9998" width="7.28515625" bestFit="1" customWidth="1"/>
    <col min="9999" max="9999" width="4.85546875" bestFit="1" customWidth="1"/>
    <col min="10000" max="10000" width="7.28515625" customWidth="1"/>
    <col min="10001" max="10001" width="10.85546875" customWidth="1"/>
    <col min="10002" max="10002" width="10.7109375" customWidth="1"/>
    <col min="10003" max="10003" width="0" hidden="1" customWidth="1"/>
    <col min="10004" max="10004" width="7.42578125" customWidth="1"/>
    <col min="10005" max="10005" width="4.7109375" customWidth="1"/>
    <col min="10006" max="10006" width="11" customWidth="1"/>
    <col min="10007" max="10007" width="11.85546875" customWidth="1"/>
    <col min="10008" max="10008" width="12.28515625" customWidth="1"/>
    <col min="10241" max="10241" width="12.28515625" customWidth="1"/>
    <col min="10242" max="10242" width="0" hidden="1" customWidth="1"/>
    <col min="10245" max="10245" width="8.85546875" customWidth="1"/>
    <col min="10246" max="10246" width="11.5703125" customWidth="1"/>
    <col min="10249" max="10249" width="9.5703125" customWidth="1"/>
    <col min="10252" max="10252" width="4.85546875" bestFit="1" customWidth="1"/>
    <col min="10253" max="10253" width="4.28515625" bestFit="1" customWidth="1"/>
    <col min="10254" max="10254" width="7.28515625" bestFit="1" customWidth="1"/>
    <col min="10255" max="10255" width="4.85546875" bestFit="1" customWidth="1"/>
    <col min="10256" max="10256" width="7.28515625" customWidth="1"/>
    <col min="10257" max="10257" width="10.85546875" customWidth="1"/>
    <col min="10258" max="10258" width="10.7109375" customWidth="1"/>
    <col min="10259" max="10259" width="0" hidden="1" customWidth="1"/>
    <col min="10260" max="10260" width="7.42578125" customWidth="1"/>
    <col min="10261" max="10261" width="4.7109375" customWidth="1"/>
    <col min="10262" max="10262" width="11" customWidth="1"/>
    <col min="10263" max="10263" width="11.85546875" customWidth="1"/>
    <col min="10264" max="10264" width="12.28515625" customWidth="1"/>
    <col min="10497" max="10497" width="12.28515625" customWidth="1"/>
    <col min="10498" max="10498" width="0" hidden="1" customWidth="1"/>
    <col min="10501" max="10501" width="8.85546875" customWidth="1"/>
    <col min="10502" max="10502" width="11.5703125" customWidth="1"/>
    <col min="10505" max="10505" width="9.5703125" customWidth="1"/>
    <col min="10508" max="10508" width="4.85546875" bestFit="1" customWidth="1"/>
    <col min="10509" max="10509" width="4.28515625" bestFit="1" customWidth="1"/>
    <col min="10510" max="10510" width="7.28515625" bestFit="1" customWidth="1"/>
    <col min="10511" max="10511" width="4.85546875" bestFit="1" customWidth="1"/>
    <col min="10512" max="10512" width="7.28515625" customWidth="1"/>
    <col min="10513" max="10513" width="10.85546875" customWidth="1"/>
    <col min="10514" max="10514" width="10.7109375" customWidth="1"/>
    <col min="10515" max="10515" width="0" hidden="1" customWidth="1"/>
    <col min="10516" max="10516" width="7.42578125" customWidth="1"/>
    <col min="10517" max="10517" width="4.7109375" customWidth="1"/>
    <col min="10518" max="10518" width="11" customWidth="1"/>
    <col min="10519" max="10519" width="11.85546875" customWidth="1"/>
    <col min="10520" max="10520" width="12.28515625" customWidth="1"/>
    <col min="10753" max="10753" width="12.28515625" customWidth="1"/>
    <col min="10754" max="10754" width="0" hidden="1" customWidth="1"/>
    <col min="10757" max="10757" width="8.85546875" customWidth="1"/>
    <col min="10758" max="10758" width="11.5703125" customWidth="1"/>
    <col min="10761" max="10761" width="9.5703125" customWidth="1"/>
    <col min="10764" max="10764" width="4.85546875" bestFit="1" customWidth="1"/>
    <col min="10765" max="10765" width="4.28515625" bestFit="1" customWidth="1"/>
    <col min="10766" max="10766" width="7.28515625" bestFit="1" customWidth="1"/>
    <col min="10767" max="10767" width="4.85546875" bestFit="1" customWidth="1"/>
    <col min="10768" max="10768" width="7.28515625" customWidth="1"/>
    <col min="10769" max="10769" width="10.85546875" customWidth="1"/>
    <col min="10770" max="10770" width="10.7109375" customWidth="1"/>
    <col min="10771" max="10771" width="0" hidden="1" customWidth="1"/>
    <col min="10772" max="10772" width="7.42578125" customWidth="1"/>
    <col min="10773" max="10773" width="4.7109375" customWidth="1"/>
    <col min="10774" max="10774" width="11" customWidth="1"/>
    <col min="10775" max="10775" width="11.85546875" customWidth="1"/>
    <col min="10776" max="10776" width="12.28515625" customWidth="1"/>
    <col min="11009" max="11009" width="12.28515625" customWidth="1"/>
    <col min="11010" max="11010" width="0" hidden="1" customWidth="1"/>
    <col min="11013" max="11013" width="8.85546875" customWidth="1"/>
    <col min="11014" max="11014" width="11.5703125" customWidth="1"/>
    <col min="11017" max="11017" width="9.5703125" customWidth="1"/>
    <col min="11020" max="11020" width="4.85546875" bestFit="1" customWidth="1"/>
    <col min="11021" max="11021" width="4.28515625" bestFit="1" customWidth="1"/>
    <col min="11022" max="11022" width="7.28515625" bestFit="1" customWidth="1"/>
    <col min="11023" max="11023" width="4.85546875" bestFit="1" customWidth="1"/>
    <col min="11024" max="11024" width="7.28515625" customWidth="1"/>
    <col min="11025" max="11025" width="10.85546875" customWidth="1"/>
    <col min="11026" max="11026" width="10.7109375" customWidth="1"/>
    <col min="11027" max="11027" width="0" hidden="1" customWidth="1"/>
    <col min="11028" max="11028" width="7.42578125" customWidth="1"/>
    <col min="11029" max="11029" width="4.7109375" customWidth="1"/>
    <col min="11030" max="11030" width="11" customWidth="1"/>
    <col min="11031" max="11031" width="11.85546875" customWidth="1"/>
    <col min="11032" max="11032" width="12.28515625" customWidth="1"/>
    <col min="11265" max="11265" width="12.28515625" customWidth="1"/>
    <col min="11266" max="11266" width="0" hidden="1" customWidth="1"/>
    <col min="11269" max="11269" width="8.85546875" customWidth="1"/>
    <col min="11270" max="11270" width="11.5703125" customWidth="1"/>
    <col min="11273" max="11273" width="9.5703125" customWidth="1"/>
    <col min="11276" max="11276" width="4.85546875" bestFit="1" customWidth="1"/>
    <col min="11277" max="11277" width="4.28515625" bestFit="1" customWidth="1"/>
    <col min="11278" max="11278" width="7.28515625" bestFit="1" customWidth="1"/>
    <col min="11279" max="11279" width="4.85546875" bestFit="1" customWidth="1"/>
    <col min="11280" max="11280" width="7.28515625" customWidth="1"/>
    <col min="11281" max="11281" width="10.85546875" customWidth="1"/>
    <col min="11282" max="11282" width="10.7109375" customWidth="1"/>
    <col min="11283" max="11283" width="0" hidden="1" customWidth="1"/>
    <col min="11284" max="11284" width="7.42578125" customWidth="1"/>
    <col min="11285" max="11285" width="4.7109375" customWidth="1"/>
    <col min="11286" max="11286" width="11" customWidth="1"/>
    <col min="11287" max="11287" width="11.85546875" customWidth="1"/>
    <col min="11288" max="11288" width="12.28515625" customWidth="1"/>
    <col min="11521" max="11521" width="12.28515625" customWidth="1"/>
    <col min="11522" max="11522" width="0" hidden="1" customWidth="1"/>
    <col min="11525" max="11525" width="8.85546875" customWidth="1"/>
    <col min="11526" max="11526" width="11.5703125" customWidth="1"/>
    <col min="11529" max="11529" width="9.5703125" customWidth="1"/>
    <col min="11532" max="11532" width="4.85546875" bestFit="1" customWidth="1"/>
    <col min="11533" max="11533" width="4.28515625" bestFit="1" customWidth="1"/>
    <col min="11534" max="11534" width="7.28515625" bestFit="1" customWidth="1"/>
    <col min="11535" max="11535" width="4.85546875" bestFit="1" customWidth="1"/>
    <col min="11536" max="11536" width="7.28515625" customWidth="1"/>
    <col min="11537" max="11537" width="10.85546875" customWidth="1"/>
    <col min="11538" max="11538" width="10.7109375" customWidth="1"/>
    <col min="11539" max="11539" width="0" hidden="1" customWidth="1"/>
    <col min="11540" max="11540" width="7.42578125" customWidth="1"/>
    <col min="11541" max="11541" width="4.7109375" customWidth="1"/>
    <col min="11542" max="11542" width="11" customWidth="1"/>
    <col min="11543" max="11543" width="11.85546875" customWidth="1"/>
    <col min="11544" max="11544" width="12.28515625" customWidth="1"/>
    <col min="11777" max="11777" width="12.28515625" customWidth="1"/>
    <col min="11778" max="11778" width="0" hidden="1" customWidth="1"/>
    <col min="11781" max="11781" width="8.85546875" customWidth="1"/>
    <col min="11782" max="11782" width="11.5703125" customWidth="1"/>
    <col min="11785" max="11785" width="9.5703125" customWidth="1"/>
    <col min="11788" max="11788" width="4.85546875" bestFit="1" customWidth="1"/>
    <col min="11789" max="11789" width="4.28515625" bestFit="1" customWidth="1"/>
    <col min="11790" max="11790" width="7.28515625" bestFit="1" customWidth="1"/>
    <col min="11791" max="11791" width="4.85546875" bestFit="1" customWidth="1"/>
    <col min="11792" max="11792" width="7.28515625" customWidth="1"/>
    <col min="11793" max="11793" width="10.85546875" customWidth="1"/>
    <col min="11794" max="11794" width="10.7109375" customWidth="1"/>
    <col min="11795" max="11795" width="0" hidden="1" customWidth="1"/>
    <col min="11796" max="11796" width="7.42578125" customWidth="1"/>
    <col min="11797" max="11797" width="4.7109375" customWidth="1"/>
    <col min="11798" max="11798" width="11" customWidth="1"/>
    <col min="11799" max="11799" width="11.85546875" customWidth="1"/>
    <col min="11800" max="11800" width="12.28515625" customWidth="1"/>
    <col min="12033" max="12033" width="12.28515625" customWidth="1"/>
    <col min="12034" max="12034" width="0" hidden="1" customWidth="1"/>
    <col min="12037" max="12037" width="8.85546875" customWidth="1"/>
    <col min="12038" max="12038" width="11.5703125" customWidth="1"/>
    <col min="12041" max="12041" width="9.5703125" customWidth="1"/>
    <col min="12044" max="12044" width="4.85546875" bestFit="1" customWidth="1"/>
    <col min="12045" max="12045" width="4.28515625" bestFit="1" customWidth="1"/>
    <col min="12046" max="12046" width="7.28515625" bestFit="1" customWidth="1"/>
    <col min="12047" max="12047" width="4.85546875" bestFit="1" customWidth="1"/>
    <col min="12048" max="12048" width="7.28515625" customWidth="1"/>
    <col min="12049" max="12049" width="10.85546875" customWidth="1"/>
    <col min="12050" max="12050" width="10.7109375" customWidth="1"/>
    <col min="12051" max="12051" width="0" hidden="1" customWidth="1"/>
    <col min="12052" max="12052" width="7.42578125" customWidth="1"/>
    <col min="12053" max="12053" width="4.7109375" customWidth="1"/>
    <col min="12054" max="12054" width="11" customWidth="1"/>
    <col min="12055" max="12055" width="11.85546875" customWidth="1"/>
    <col min="12056" max="12056" width="12.28515625" customWidth="1"/>
    <col min="12289" max="12289" width="12.28515625" customWidth="1"/>
    <col min="12290" max="12290" width="0" hidden="1" customWidth="1"/>
    <col min="12293" max="12293" width="8.85546875" customWidth="1"/>
    <col min="12294" max="12294" width="11.5703125" customWidth="1"/>
    <col min="12297" max="12297" width="9.5703125" customWidth="1"/>
    <col min="12300" max="12300" width="4.85546875" bestFit="1" customWidth="1"/>
    <col min="12301" max="12301" width="4.28515625" bestFit="1" customWidth="1"/>
    <col min="12302" max="12302" width="7.28515625" bestFit="1" customWidth="1"/>
    <col min="12303" max="12303" width="4.85546875" bestFit="1" customWidth="1"/>
    <col min="12304" max="12304" width="7.28515625" customWidth="1"/>
    <col min="12305" max="12305" width="10.85546875" customWidth="1"/>
    <col min="12306" max="12306" width="10.7109375" customWidth="1"/>
    <col min="12307" max="12307" width="0" hidden="1" customWidth="1"/>
    <col min="12308" max="12308" width="7.42578125" customWidth="1"/>
    <col min="12309" max="12309" width="4.7109375" customWidth="1"/>
    <col min="12310" max="12310" width="11" customWidth="1"/>
    <col min="12311" max="12311" width="11.85546875" customWidth="1"/>
    <col min="12312" max="12312" width="12.28515625" customWidth="1"/>
    <col min="12545" max="12545" width="12.28515625" customWidth="1"/>
    <col min="12546" max="12546" width="0" hidden="1" customWidth="1"/>
    <col min="12549" max="12549" width="8.85546875" customWidth="1"/>
    <col min="12550" max="12550" width="11.5703125" customWidth="1"/>
    <col min="12553" max="12553" width="9.5703125" customWidth="1"/>
    <col min="12556" max="12556" width="4.85546875" bestFit="1" customWidth="1"/>
    <col min="12557" max="12557" width="4.28515625" bestFit="1" customWidth="1"/>
    <col min="12558" max="12558" width="7.28515625" bestFit="1" customWidth="1"/>
    <col min="12559" max="12559" width="4.85546875" bestFit="1" customWidth="1"/>
    <col min="12560" max="12560" width="7.28515625" customWidth="1"/>
    <col min="12561" max="12561" width="10.85546875" customWidth="1"/>
    <col min="12562" max="12562" width="10.7109375" customWidth="1"/>
    <col min="12563" max="12563" width="0" hidden="1" customWidth="1"/>
    <col min="12564" max="12564" width="7.42578125" customWidth="1"/>
    <col min="12565" max="12565" width="4.7109375" customWidth="1"/>
    <col min="12566" max="12566" width="11" customWidth="1"/>
    <col min="12567" max="12567" width="11.85546875" customWidth="1"/>
    <col min="12568" max="12568" width="12.28515625" customWidth="1"/>
    <col min="12801" max="12801" width="12.28515625" customWidth="1"/>
    <col min="12802" max="12802" width="0" hidden="1" customWidth="1"/>
    <col min="12805" max="12805" width="8.85546875" customWidth="1"/>
    <col min="12806" max="12806" width="11.5703125" customWidth="1"/>
    <col min="12809" max="12809" width="9.5703125" customWidth="1"/>
    <col min="12812" max="12812" width="4.85546875" bestFit="1" customWidth="1"/>
    <col min="12813" max="12813" width="4.28515625" bestFit="1" customWidth="1"/>
    <col min="12814" max="12814" width="7.28515625" bestFit="1" customWidth="1"/>
    <col min="12815" max="12815" width="4.85546875" bestFit="1" customWidth="1"/>
    <col min="12816" max="12816" width="7.28515625" customWidth="1"/>
    <col min="12817" max="12817" width="10.85546875" customWidth="1"/>
    <col min="12818" max="12818" width="10.7109375" customWidth="1"/>
    <col min="12819" max="12819" width="0" hidden="1" customWidth="1"/>
    <col min="12820" max="12820" width="7.42578125" customWidth="1"/>
    <col min="12821" max="12821" width="4.7109375" customWidth="1"/>
    <col min="12822" max="12822" width="11" customWidth="1"/>
    <col min="12823" max="12823" width="11.85546875" customWidth="1"/>
    <col min="12824" max="12824" width="12.28515625" customWidth="1"/>
    <col min="13057" max="13057" width="12.28515625" customWidth="1"/>
    <col min="13058" max="13058" width="0" hidden="1" customWidth="1"/>
    <col min="13061" max="13061" width="8.85546875" customWidth="1"/>
    <col min="13062" max="13062" width="11.5703125" customWidth="1"/>
    <col min="13065" max="13065" width="9.5703125" customWidth="1"/>
    <col min="13068" max="13068" width="4.85546875" bestFit="1" customWidth="1"/>
    <col min="13069" max="13069" width="4.28515625" bestFit="1" customWidth="1"/>
    <col min="13070" max="13070" width="7.28515625" bestFit="1" customWidth="1"/>
    <col min="13071" max="13071" width="4.85546875" bestFit="1" customWidth="1"/>
    <col min="13072" max="13072" width="7.28515625" customWidth="1"/>
    <col min="13073" max="13073" width="10.85546875" customWidth="1"/>
    <col min="13074" max="13074" width="10.7109375" customWidth="1"/>
    <col min="13075" max="13075" width="0" hidden="1" customWidth="1"/>
    <col min="13076" max="13076" width="7.42578125" customWidth="1"/>
    <col min="13077" max="13077" width="4.7109375" customWidth="1"/>
    <col min="13078" max="13078" width="11" customWidth="1"/>
    <col min="13079" max="13079" width="11.85546875" customWidth="1"/>
    <col min="13080" max="13080" width="12.28515625" customWidth="1"/>
    <col min="13313" max="13313" width="12.28515625" customWidth="1"/>
    <col min="13314" max="13314" width="0" hidden="1" customWidth="1"/>
    <col min="13317" max="13317" width="8.85546875" customWidth="1"/>
    <col min="13318" max="13318" width="11.5703125" customWidth="1"/>
    <col min="13321" max="13321" width="9.5703125" customWidth="1"/>
    <col min="13324" max="13324" width="4.85546875" bestFit="1" customWidth="1"/>
    <col min="13325" max="13325" width="4.28515625" bestFit="1" customWidth="1"/>
    <col min="13326" max="13326" width="7.28515625" bestFit="1" customWidth="1"/>
    <col min="13327" max="13327" width="4.85546875" bestFit="1" customWidth="1"/>
    <col min="13328" max="13328" width="7.28515625" customWidth="1"/>
    <col min="13329" max="13329" width="10.85546875" customWidth="1"/>
    <col min="13330" max="13330" width="10.7109375" customWidth="1"/>
    <col min="13331" max="13331" width="0" hidden="1" customWidth="1"/>
    <col min="13332" max="13332" width="7.42578125" customWidth="1"/>
    <col min="13333" max="13333" width="4.7109375" customWidth="1"/>
    <col min="13334" max="13334" width="11" customWidth="1"/>
    <col min="13335" max="13335" width="11.85546875" customWidth="1"/>
    <col min="13336" max="13336" width="12.28515625" customWidth="1"/>
    <col min="13569" max="13569" width="12.28515625" customWidth="1"/>
    <col min="13570" max="13570" width="0" hidden="1" customWidth="1"/>
    <col min="13573" max="13573" width="8.85546875" customWidth="1"/>
    <col min="13574" max="13574" width="11.5703125" customWidth="1"/>
    <col min="13577" max="13577" width="9.5703125" customWidth="1"/>
    <col min="13580" max="13580" width="4.85546875" bestFit="1" customWidth="1"/>
    <col min="13581" max="13581" width="4.28515625" bestFit="1" customWidth="1"/>
    <col min="13582" max="13582" width="7.28515625" bestFit="1" customWidth="1"/>
    <col min="13583" max="13583" width="4.85546875" bestFit="1" customWidth="1"/>
    <col min="13584" max="13584" width="7.28515625" customWidth="1"/>
    <col min="13585" max="13585" width="10.85546875" customWidth="1"/>
    <col min="13586" max="13586" width="10.7109375" customWidth="1"/>
    <col min="13587" max="13587" width="0" hidden="1" customWidth="1"/>
    <col min="13588" max="13588" width="7.42578125" customWidth="1"/>
    <col min="13589" max="13589" width="4.7109375" customWidth="1"/>
    <col min="13590" max="13590" width="11" customWidth="1"/>
    <col min="13591" max="13591" width="11.85546875" customWidth="1"/>
    <col min="13592" max="13592" width="12.28515625" customWidth="1"/>
    <col min="13825" max="13825" width="12.28515625" customWidth="1"/>
    <col min="13826" max="13826" width="0" hidden="1" customWidth="1"/>
    <col min="13829" max="13829" width="8.85546875" customWidth="1"/>
    <col min="13830" max="13830" width="11.5703125" customWidth="1"/>
    <col min="13833" max="13833" width="9.5703125" customWidth="1"/>
    <col min="13836" max="13836" width="4.85546875" bestFit="1" customWidth="1"/>
    <col min="13837" max="13837" width="4.28515625" bestFit="1" customWidth="1"/>
    <col min="13838" max="13838" width="7.28515625" bestFit="1" customWidth="1"/>
    <col min="13839" max="13839" width="4.85546875" bestFit="1" customWidth="1"/>
    <col min="13840" max="13840" width="7.28515625" customWidth="1"/>
    <col min="13841" max="13841" width="10.85546875" customWidth="1"/>
    <col min="13842" max="13842" width="10.7109375" customWidth="1"/>
    <col min="13843" max="13843" width="0" hidden="1" customWidth="1"/>
    <col min="13844" max="13844" width="7.42578125" customWidth="1"/>
    <col min="13845" max="13845" width="4.7109375" customWidth="1"/>
    <col min="13846" max="13846" width="11" customWidth="1"/>
    <col min="13847" max="13847" width="11.85546875" customWidth="1"/>
    <col min="13848" max="13848" width="12.28515625" customWidth="1"/>
    <col min="14081" max="14081" width="12.28515625" customWidth="1"/>
    <col min="14082" max="14082" width="0" hidden="1" customWidth="1"/>
    <col min="14085" max="14085" width="8.85546875" customWidth="1"/>
    <col min="14086" max="14086" width="11.5703125" customWidth="1"/>
    <col min="14089" max="14089" width="9.5703125" customWidth="1"/>
    <col min="14092" max="14092" width="4.85546875" bestFit="1" customWidth="1"/>
    <col min="14093" max="14093" width="4.28515625" bestFit="1" customWidth="1"/>
    <col min="14094" max="14094" width="7.28515625" bestFit="1" customWidth="1"/>
    <col min="14095" max="14095" width="4.85546875" bestFit="1" customWidth="1"/>
    <col min="14096" max="14096" width="7.28515625" customWidth="1"/>
    <col min="14097" max="14097" width="10.85546875" customWidth="1"/>
    <col min="14098" max="14098" width="10.7109375" customWidth="1"/>
    <col min="14099" max="14099" width="0" hidden="1" customWidth="1"/>
    <col min="14100" max="14100" width="7.42578125" customWidth="1"/>
    <col min="14101" max="14101" width="4.7109375" customWidth="1"/>
    <col min="14102" max="14102" width="11" customWidth="1"/>
    <col min="14103" max="14103" width="11.85546875" customWidth="1"/>
    <col min="14104" max="14104" width="12.28515625" customWidth="1"/>
    <col min="14337" max="14337" width="12.28515625" customWidth="1"/>
    <col min="14338" max="14338" width="0" hidden="1" customWidth="1"/>
    <col min="14341" max="14341" width="8.85546875" customWidth="1"/>
    <col min="14342" max="14342" width="11.5703125" customWidth="1"/>
    <col min="14345" max="14345" width="9.5703125" customWidth="1"/>
    <col min="14348" max="14348" width="4.85546875" bestFit="1" customWidth="1"/>
    <col min="14349" max="14349" width="4.28515625" bestFit="1" customWidth="1"/>
    <col min="14350" max="14350" width="7.28515625" bestFit="1" customWidth="1"/>
    <col min="14351" max="14351" width="4.85546875" bestFit="1" customWidth="1"/>
    <col min="14352" max="14352" width="7.28515625" customWidth="1"/>
    <col min="14353" max="14353" width="10.85546875" customWidth="1"/>
    <col min="14354" max="14354" width="10.7109375" customWidth="1"/>
    <col min="14355" max="14355" width="0" hidden="1" customWidth="1"/>
    <col min="14356" max="14356" width="7.42578125" customWidth="1"/>
    <col min="14357" max="14357" width="4.7109375" customWidth="1"/>
    <col min="14358" max="14358" width="11" customWidth="1"/>
    <col min="14359" max="14359" width="11.85546875" customWidth="1"/>
    <col min="14360" max="14360" width="12.28515625" customWidth="1"/>
    <col min="14593" max="14593" width="12.28515625" customWidth="1"/>
    <col min="14594" max="14594" width="0" hidden="1" customWidth="1"/>
    <col min="14597" max="14597" width="8.85546875" customWidth="1"/>
    <col min="14598" max="14598" width="11.5703125" customWidth="1"/>
    <col min="14601" max="14601" width="9.5703125" customWidth="1"/>
    <col min="14604" max="14604" width="4.85546875" bestFit="1" customWidth="1"/>
    <col min="14605" max="14605" width="4.28515625" bestFit="1" customWidth="1"/>
    <col min="14606" max="14606" width="7.28515625" bestFit="1" customWidth="1"/>
    <col min="14607" max="14607" width="4.85546875" bestFit="1" customWidth="1"/>
    <col min="14608" max="14608" width="7.28515625" customWidth="1"/>
    <col min="14609" max="14609" width="10.85546875" customWidth="1"/>
    <col min="14610" max="14610" width="10.7109375" customWidth="1"/>
    <col min="14611" max="14611" width="0" hidden="1" customWidth="1"/>
    <col min="14612" max="14612" width="7.42578125" customWidth="1"/>
    <col min="14613" max="14613" width="4.7109375" customWidth="1"/>
    <col min="14614" max="14614" width="11" customWidth="1"/>
    <col min="14615" max="14615" width="11.85546875" customWidth="1"/>
    <col min="14616" max="14616" width="12.28515625" customWidth="1"/>
    <col min="14849" max="14849" width="12.28515625" customWidth="1"/>
    <col min="14850" max="14850" width="0" hidden="1" customWidth="1"/>
    <col min="14853" max="14853" width="8.85546875" customWidth="1"/>
    <col min="14854" max="14854" width="11.5703125" customWidth="1"/>
    <col min="14857" max="14857" width="9.5703125" customWidth="1"/>
    <col min="14860" max="14860" width="4.85546875" bestFit="1" customWidth="1"/>
    <col min="14861" max="14861" width="4.28515625" bestFit="1" customWidth="1"/>
    <col min="14862" max="14862" width="7.28515625" bestFit="1" customWidth="1"/>
    <col min="14863" max="14863" width="4.85546875" bestFit="1" customWidth="1"/>
    <col min="14864" max="14864" width="7.28515625" customWidth="1"/>
    <col min="14865" max="14865" width="10.85546875" customWidth="1"/>
    <col min="14866" max="14866" width="10.7109375" customWidth="1"/>
    <col min="14867" max="14867" width="0" hidden="1" customWidth="1"/>
    <col min="14868" max="14868" width="7.42578125" customWidth="1"/>
    <col min="14869" max="14869" width="4.7109375" customWidth="1"/>
    <col min="14870" max="14870" width="11" customWidth="1"/>
    <col min="14871" max="14871" width="11.85546875" customWidth="1"/>
    <col min="14872" max="14872" width="12.28515625" customWidth="1"/>
    <col min="15105" max="15105" width="12.28515625" customWidth="1"/>
    <col min="15106" max="15106" width="0" hidden="1" customWidth="1"/>
    <col min="15109" max="15109" width="8.85546875" customWidth="1"/>
    <col min="15110" max="15110" width="11.5703125" customWidth="1"/>
    <col min="15113" max="15113" width="9.5703125" customWidth="1"/>
    <col min="15116" max="15116" width="4.85546875" bestFit="1" customWidth="1"/>
    <col min="15117" max="15117" width="4.28515625" bestFit="1" customWidth="1"/>
    <col min="15118" max="15118" width="7.28515625" bestFit="1" customWidth="1"/>
    <col min="15119" max="15119" width="4.85546875" bestFit="1" customWidth="1"/>
    <col min="15120" max="15120" width="7.28515625" customWidth="1"/>
    <col min="15121" max="15121" width="10.85546875" customWidth="1"/>
    <col min="15122" max="15122" width="10.7109375" customWidth="1"/>
    <col min="15123" max="15123" width="0" hidden="1" customWidth="1"/>
    <col min="15124" max="15124" width="7.42578125" customWidth="1"/>
    <col min="15125" max="15125" width="4.7109375" customWidth="1"/>
    <col min="15126" max="15126" width="11" customWidth="1"/>
    <col min="15127" max="15127" width="11.85546875" customWidth="1"/>
    <col min="15128" max="15128" width="12.28515625" customWidth="1"/>
    <col min="15361" max="15361" width="12.28515625" customWidth="1"/>
    <col min="15362" max="15362" width="0" hidden="1" customWidth="1"/>
    <col min="15365" max="15365" width="8.85546875" customWidth="1"/>
    <col min="15366" max="15366" width="11.5703125" customWidth="1"/>
    <col min="15369" max="15369" width="9.5703125" customWidth="1"/>
    <col min="15372" max="15372" width="4.85546875" bestFit="1" customWidth="1"/>
    <col min="15373" max="15373" width="4.28515625" bestFit="1" customWidth="1"/>
    <col min="15374" max="15374" width="7.28515625" bestFit="1" customWidth="1"/>
    <col min="15375" max="15375" width="4.85546875" bestFit="1" customWidth="1"/>
    <col min="15376" max="15376" width="7.28515625" customWidth="1"/>
    <col min="15377" max="15377" width="10.85546875" customWidth="1"/>
    <col min="15378" max="15378" width="10.7109375" customWidth="1"/>
    <col min="15379" max="15379" width="0" hidden="1" customWidth="1"/>
    <col min="15380" max="15380" width="7.42578125" customWidth="1"/>
    <col min="15381" max="15381" width="4.7109375" customWidth="1"/>
    <col min="15382" max="15382" width="11" customWidth="1"/>
    <col min="15383" max="15383" width="11.85546875" customWidth="1"/>
    <col min="15384" max="15384" width="12.28515625" customWidth="1"/>
    <col min="15617" max="15617" width="12.28515625" customWidth="1"/>
    <col min="15618" max="15618" width="0" hidden="1" customWidth="1"/>
    <col min="15621" max="15621" width="8.85546875" customWidth="1"/>
    <col min="15622" max="15622" width="11.5703125" customWidth="1"/>
    <col min="15625" max="15625" width="9.5703125" customWidth="1"/>
    <col min="15628" max="15628" width="4.85546875" bestFit="1" customWidth="1"/>
    <col min="15629" max="15629" width="4.28515625" bestFit="1" customWidth="1"/>
    <col min="15630" max="15630" width="7.28515625" bestFit="1" customWidth="1"/>
    <col min="15631" max="15631" width="4.85546875" bestFit="1" customWidth="1"/>
    <col min="15632" max="15632" width="7.28515625" customWidth="1"/>
    <col min="15633" max="15633" width="10.85546875" customWidth="1"/>
    <col min="15634" max="15634" width="10.7109375" customWidth="1"/>
    <col min="15635" max="15635" width="0" hidden="1" customWidth="1"/>
    <col min="15636" max="15636" width="7.42578125" customWidth="1"/>
    <col min="15637" max="15637" width="4.7109375" customWidth="1"/>
    <col min="15638" max="15638" width="11" customWidth="1"/>
    <col min="15639" max="15639" width="11.85546875" customWidth="1"/>
    <col min="15640" max="15640" width="12.28515625" customWidth="1"/>
    <col min="15873" max="15873" width="12.28515625" customWidth="1"/>
    <col min="15874" max="15874" width="0" hidden="1" customWidth="1"/>
    <col min="15877" max="15877" width="8.85546875" customWidth="1"/>
    <col min="15878" max="15878" width="11.5703125" customWidth="1"/>
    <col min="15881" max="15881" width="9.5703125" customWidth="1"/>
    <col min="15884" max="15884" width="4.85546875" bestFit="1" customWidth="1"/>
    <col min="15885" max="15885" width="4.28515625" bestFit="1" customWidth="1"/>
    <col min="15886" max="15886" width="7.28515625" bestFit="1" customWidth="1"/>
    <col min="15887" max="15887" width="4.85546875" bestFit="1" customWidth="1"/>
    <col min="15888" max="15888" width="7.28515625" customWidth="1"/>
    <col min="15889" max="15889" width="10.85546875" customWidth="1"/>
    <col min="15890" max="15890" width="10.7109375" customWidth="1"/>
    <col min="15891" max="15891" width="0" hidden="1" customWidth="1"/>
    <col min="15892" max="15892" width="7.42578125" customWidth="1"/>
    <col min="15893" max="15893" width="4.7109375" customWidth="1"/>
    <col min="15894" max="15894" width="11" customWidth="1"/>
    <col min="15895" max="15895" width="11.85546875" customWidth="1"/>
    <col min="15896" max="15896" width="12.28515625" customWidth="1"/>
    <col min="16129" max="16129" width="12.28515625" customWidth="1"/>
    <col min="16130" max="16130" width="0" hidden="1" customWidth="1"/>
    <col min="16133" max="16133" width="8.85546875" customWidth="1"/>
    <col min="16134" max="16134" width="11.5703125" customWidth="1"/>
    <col min="16137" max="16137" width="9.5703125" customWidth="1"/>
    <col min="16140" max="16140" width="4.85546875" bestFit="1" customWidth="1"/>
    <col min="16141" max="16141" width="4.28515625" bestFit="1" customWidth="1"/>
    <col min="16142" max="16142" width="7.28515625" bestFit="1" customWidth="1"/>
    <col min="16143" max="16143" width="4.85546875" bestFit="1" customWidth="1"/>
    <col min="16144" max="16144" width="7.28515625" customWidth="1"/>
    <col min="16145" max="16145" width="10.85546875" customWidth="1"/>
    <col min="16146" max="16146" width="10.7109375" customWidth="1"/>
    <col min="16147" max="16147" width="0" hidden="1" customWidth="1"/>
    <col min="16148" max="16148" width="7.42578125" customWidth="1"/>
    <col min="16149" max="16149" width="4.7109375" customWidth="1"/>
    <col min="16150" max="16150" width="11" customWidth="1"/>
    <col min="16151" max="16151" width="11.85546875" customWidth="1"/>
    <col min="16152" max="16152" width="12.28515625" customWidth="1"/>
  </cols>
  <sheetData>
    <row r="3" spans="1:24" ht="15.75">
      <c r="A3" s="86"/>
      <c r="B3" s="87"/>
      <c r="C3" s="88"/>
      <c r="D3" s="87"/>
      <c r="E3" s="87"/>
      <c r="F3" s="87"/>
      <c r="G3" s="89"/>
      <c r="H3" s="89"/>
      <c r="I3" s="90"/>
      <c r="J3" s="91"/>
      <c r="K3" s="92"/>
      <c r="L3" s="92"/>
      <c r="M3" s="92"/>
      <c r="N3" s="93"/>
      <c r="O3" s="92"/>
      <c r="P3" s="93"/>
      <c r="Q3" s="94"/>
      <c r="R3" s="94"/>
      <c r="S3" s="94"/>
      <c r="T3" s="94"/>
      <c r="U3" s="94"/>
      <c r="V3" s="95"/>
      <c r="W3" s="95"/>
      <c r="X3" s="94"/>
    </row>
    <row r="4" spans="1:24" ht="15.75">
      <c r="B4" s="87"/>
      <c r="C4" s="88"/>
      <c r="D4" s="87"/>
      <c r="E4" s="87"/>
      <c r="F4" s="87"/>
      <c r="G4" s="89"/>
      <c r="H4" s="89"/>
      <c r="I4" s="90"/>
      <c r="J4" s="91"/>
      <c r="K4" s="92"/>
      <c r="L4" s="92"/>
      <c r="M4" s="92"/>
      <c r="N4" s="93"/>
      <c r="O4" s="92"/>
      <c r="P4" s="93"/>
      <c r="Q4" s="94"/>
      <c r="R4" s="94"/>
      <c r="S4" s="94"/>
      <c r="T4" s="94"/>
      <c r="U4" s="94"/>
      <c r="V4" s="95"/>
      <c r="W4" s="95"/>
      <c r="X4" s="94"/>
    </row>
    <row r="5" spans="1:24" ht="16.5" thickBot="1">
      <c r="B5" s="87"/>
      <c r="C5" s="88"/>
      <c r="D5" s="87"/>
      <c r="E5" s="87"/>
      <c r="F5" s="87"/>
      <c r="G5" s="89"/>
      <c r="H5" s="89"/>
      <c r="I5" s="90"/>
      <c r="J5" s="91"/>
      <c r="K5" s="92"/>
      <c r="L5" s="92"/>
      <c r="M5" s="92"/>
      <c r="N5" s="93"/>
      <c r="O5" s="92"/>
      <c r="P5" s="93"/>
      <c r="Q5" s="94"/>
      <c r="R5" s="94"/>
      <c r="S5" s="94"/>
      <c r="T5" s="94"/>
      <c r="U5" s="94"/>
      <c r="V5" s="95"/>
      <c r="W5" s="95"/>
      <c r="X5" s="94"/>
    </row>
    <row r="6" spans="1:24">
      <c r="B6" s="90"/>
      <c r="C6" s="87"/>
      <c r="D6" s="96"/>
      <c r="E6" s="90"/>
      <c r="F6" s="90"/>
      <c r="G6" s="90"/>
      <c r="H6" s="90"/>
      <c r="I6" s="251" t="s">
        <v>172</v>
      </c>
      <c r="J6" s="252"/>
      <c r="K6" s="251" t="s">
        <v>173</v>
      </c>
      <c r="L6" s="255"/>
      <c r="M6" s="255"/>
      <c r="N6" s="255"/>
      <c r="O6" s="255"/>
      <c r="P6" s="255"/>
      <c r="Q6" s="252"/>
      <c r="R6" s="257"/>
      <c r="S6" s="240" t="s">
        <v>174</v>
      </c>
      <c r="T6" s="259" t="s">
        <v>175</v>
      </c>
      <c r="U6" s="260"/>
      <c r="V6" s="238" t="s">
        <v>176</v>
      </c>
      <c r="W6" s="238" t="s">
        <v>177</v>
      </c>
      <c r="X6" s="240" t="s">
        <v>178</v>
      </c>
    </row>
    <row r="7" spans="1:24" ht="15.75" thickBot="1">
      <c r="A7" s="97"/>
      <c r="B7" s="90"/>
      <c r="C7" s="87"/>
      <c r="D7" s="96"/>
      <c r="E7" s="90"/>
      <c r="F7" s="90"/>
      <c r="G7" s="90"/>
      <c r="H7" s="90"/>
      <c r="I7" s="253"/>
      <c r="J7" s="254"/>
      <c r="K7" s="253"/>
      <c r="L7" s="256"/>
      <c r="M7" s="256"/>
      <c r="N7" s="256"/>
      <c r="O7" s="256"/>
      <c r="P7" s="256"/>
      <c r="Q7" s="254"/>
      <c r="R7" s="258"/>
      <c r="S7" s="241"/>
      <c r="T7" s="261"/>
      <c r="U7" s="262"/>
      <c r="V7" s="239"/>
      <c r="W7" s="239"/>
      <c r="X7" s="241"/>
    </row>
    <row r="8" spans="1:24" ht="34.5" thickBot="1">
      <c r="A8" s="98" t="s">
        <v>179</v>
      </c>
      <c r="B8" s="99" t="s">
        <v>180</v>
      </c>
      <c r="C8" s="100" t="s">
        <v>181</v>
      </c>
      <c r="D8" s="101" t="s">
        <v>182</v>
      </c>
      <c r="E8" s="102" t="s">
        <v>183</v>
      </c>
      <c r="F8" s="103" t="s">
        <v>184</v>
      </c>
      <c r="G8" s="104" t="s">
        <v>185</v>
      </c>
      <c r="H8" s="105" t="s">
        <v>186</v>
      </c>
      <c r="I8" s="106" t="s">
        <v>187</v>
      </c>
      <c r="J8" s="107" t="s">
        <v>205</v>
      </c>
      <c r="K8" s="108" t="s">
        <v>188</v>
      </c>
      <c r="L8" s="102" t="s">
        <v>189</v>
      </c>
      <c r="M8" s="102" t="s">
        <v>190</v>
      </c>
      <c r="N8" s="109" t="s">
        <v>191</v>
      </c>
      <c r="O8" s="102" t="s">
        <v>192</v>
      </c>
      <c r="P8" s="110" t="s">
        <v>193</v>
      </c>
      <c r="Q8" s="111" t="s">
        <v>194</v>
      </c>
      <c r="R8" s="112" t="s">
        <v>195</v>
      </c>
      <c r="S8" s="113" t="s">
        <v>196</v>
      </c>
      <c r="T8" s="242" t="s">
        <v>197</v>
      </c>
      <c r="U8" s="243"/>
      <c r="V8" s="114" t="s">
        <v>198</v>
      </c>
      <c r="W8" s="115" t="s">
        <v>199</v>
      </c>
      <c r="X8" s="111" t="s">
        <v>200</v>
      </c>
    </row>
    <row r="9" spans="1:24">
      <c r="A9" s="244" t="s">
        <v>203</v>
      </c>
      <c r="B9" s="246">
        <f>3.14*C9/180</f>
        <v>1.3083333333333333</v>
      </c>
      <c r="C9" s="247">
        <v>75</v>
      </c>
      <c r="D9" s="248">
        <v>0.5</v>
      </c>
      <c r="E9" s="248">
        <f>2*(F9/TAN(B9))+D9</f>
        <v>1.14478536663845</v>
      </c>
      <c r="F9" s="249">
        <v>1.2</v>
      </c>
      <c r="G9" s="250">
        <f>+(E9+D9)/2*F9</f>
        <v>0.98687121998306992</v>
      </c>
      <c r="H9" s="272">
        <f>20+20+26</f>
        <v>66</v>
      </c>
      <c r="I9" s="274">
        <v>66</v>
      </c>
      <c r="J9" s="276">
        <f>+G9*I9</f>
        <v>65.133500518882613</v>
      </c>
      <c r="K9" s="277">
        <v>0.2</v>
      </c>
      <c r="L9" s="278">
        <f>0.1+(K9/20)</f>
        <v>0.11</v>
      </c>
      <c r="M9" s="248">
        <v>0.3</v>
      </c>
      <c r="N9" s="270">
        <f>K9^2*PI()/4</f>
        <v>3.1415926535897934E-2</v>
      </c>
      <c r="O9" s="248">
        <f>+K9+L9+M9</f>
        <v>0.61</v>
      </c>
      <c r="P9" s="271">
        <f>((O9/TAN(B9))+D9)*O9-N9</f>
        <v>0.37355267135000508</v>
      </c>
      <c r="Q9" s="266">
        <f>+(I9-1.2)*P9</f>
        <v>24.20621310348033</v>
      </c>
      <c r="R9" s="266">
        <f>+((((F9/TAN(B9))+((F9-0.3)/TAN(B9)))+D9)*0.3)*I9</f>
        <v>21.07090647701115</v>
      </c>
      <c r="S9" s="267"/>
      <c r="T9" s="263">
        <f>+E9*I9</f>
        <v>75.555834198137703</v>
      </c>
      <c r="U9" s="264"/>
      <c r="V9" s="265">
        <f>+D9*I9</f>
        <v>33</v>
      </c>
      <c r="W9" s="266">
        <f>+J9-Q9-R9</f>
        <v>19.856380938391133</v>
      </c>
      <c r="X9" s="266">
        <f>+(Q9+R9)</f>
        <v>45.27711958049148</v>
      </c>
    </row>
    <row r="10" spans="1:24">
      <c r="A10" s="245"/>
      <c r="B10" s="246"/>
      <c r="C10" s="247"/>
      <c r="D10" s="248"/>
      <c r="E10" s="248"/>
      <c r="F10" s="249"/>
      <c r="G10" s="250"/>
      <c r="H10" s="273"/>
      <c r="I10" s="275"/>
      <c r="J10" s="276"/>
      <c r="K10" s="277"/>
      <c r="L10" s="278"/>
      <c r="M10" s="248"/>
      <c r="N10" s="270"/>
      <c r="O10" s="248"/>
      <c r="P10" s="271"/>
      <c r="Q10" s="266"/>
      <c r="R10" s="266"/>
      <c r="S10" s="268"/>
      <c r="T10" s="263"/>
      <c r="U10" s="264"/>
      <c r="V10" s="265"/>
      <c r="W10" s="266"/>
      <c r="X10" s="266"/>
    </row>
    <row r="11" spans="1:24">
      <c r="A11" s="269" t="s">
        <v>204</v>
      </c>
      <c r="B11" s="246">
        <f>3.14*C11/180</f>
        <v>1.3083333333333333</v>
      </c>
      <c r="C11" s="247">
        <v>75</v>
      </c>
      <c r="D11" s="248">
        <v>0.5</v>
      </c>
      <c r="E11" s="248">
        <f>2*(F11/TAN(B11))+D11</f>
        <v>1.1985174805249876</v>
      </c>
      <c r="F11" s="249">
        <v>1.3</v>
      </c>
      <c r="G11" s="250">
        <f>+(E11+D11)/2*F11</f>
        <v>1.1040363623412419</v>
      </c>
      <c r="H11" s="282">
        <f>30+20</f>
        <v>50</v>
      </c>
      <c r="I11" s="283">
        <v>52</v>
      </c>
      <c r="J11" s="276">
        <f>+G11*I11</f>
        <v>57.409890841744577</v>
      </c>
      <c r="K11" s="277">
        <v>0.16</v>
      </c>
      <c r="L11" s="278">
        <f>0.1+(K11/20)</f>
        <v>0.10800000000000001</v>
      </c>
      <c r="M11" s="248">
        <v>0.3</v>
      </c>
      <c r="N11" s="270">
        <f>K11^2*PI()/4</f>
        <v>2.0106192982974676E-2</v>
      </c>
      <c r="O11" s="248">
        <f>+K11+L11+M11</f>
        <v>0.56800000000000006</v>
      </c>
      <c r="P11" s="271">
        <f>((O11/TAN(B11))+D11)*O11-N11</f>
        <v>0.35057015456967677</v>
      </c>
      <c r="Q11" s="266">
        <f>+(I11-1.2)*P11</f>
        <v>17.808963852139581</v>
      </c>
      <c r="R11" s="266">
        <f>+((((F11/TAN(B11))+((F11-0.3)/TAN(B11)))+D11)*0.3)*I11</f>
        <v>17.439541231244828</v>
      </c>
      <c r="S11" s="279"/>
      <c r="T11" s="263">
        <f>+E11*I11</f>
        <v>62.322908987299357</v>
      </c>
      <c r="U11" s="264"/>
      <c r="V11" s="265">
        <f>+D11*I11</f>
        <v>26</v>
      </c>
      <c r="W11" s="266">
        <f>+J11-Q11-R11</f>
        <v>22.161385758360172</v>
      </c>
      <c r="X11" s="266">
        <f>+(Q11+R11)</f>
        <v>35.248505083384408</v>
      </c>
    </row>
    <row r="12" spans="1:24">
      <c r="A12" s="245"/>
      <c r="B12" s="246"/>
      <c r="C12" s="247"/>
      <c r="D12" s="248"/>
      <c r="E12" s="248"/>
      <c r="F12" s="249"/>
      <c r="G12" s="250"/>
      <c r="H12" s="273"/>
      <c r="I12" s="275"/>
      <c r="J12" s="276"/>
      <c r="K12" s="277"/>
      <c r="L12" s="278"/>
      <c r="M12" s="248"/>
      <c r="N12" s="270"/>
      <c r="O12" s="248"/>
      <c r="P12" s="271"/>
      <c r="Q12" s="266"/>
      <c r="R12" s="266"/>
      <c r="S12" s="268"/>
      <c r="T12" s="263"/>
      <c r="U12" s="264"/>
      <c r="V12" s="265"/>
      <c r="W12" s="266"/>
      <c r="X12" s="266"/>
    </row>
    <row r="13" spans="1:24">
      <c r="A13" s="280" t="s">
        <v>206</v>
      </c>
      <c r="B13" s="246">
        <f>3.14*C13/180</f>
        <v>1.3083333333333333</v>
      </c>
      <c r="C13" s="247">
        <v>75</v>
      </c>
      <c r="D13" s="248">
        <v>2.2000000000000002</v>
      </c>
      <c r="E13" s="248">
        <f>2*(F13/TAN(B13))+D13</f>
        <v>3.8119634165961256</v>
      </c>
      <c r="F13" s="249">
        <v>3</v>
      </c>
      <c r="G13" s="250">
        <f>+(E13+D13)/2*F13</f>
        <v>9.0179451248941902</v>
      </c>
      <c r="H13" s="282">
        <v>3</v>
      </c>
      <c r="I13" s="266">
        <v>3</v>
      </c>
      <c r="J13" s="276">
        <f>+G13*I13</f>
        <v>27.053835374682571</v>
      </c>
      <c r="K13" s="277">
        <v>0.2</v>
      </c>
      <c r="L13" s="278">
        <f>0.1+(K13/20)</f>
        <v>0.11</v>
      </c>
      <c r="M13" s="248">
        <v>0.3</v>
      </c>
      <c r="N13" s="270">
        <f>K13^2*PI()/4</f>
        <v>3.1415926535897934E-2</v>
      </c>
      <c r="O13" s="248">
        <f>+K13+L13+M13</f>
        <v>0.61</v>
      </c>
      <c r="P13" s="271">
        <f>((O13/TAN(B13))+D13)*O13-N13</f>
        <v>1.4105526713500052</v>
      </c>
      <c r="Q13" s="266">
        <f>+(I13-1.2)*P13</f>
        <v>2.5389948084300094</v>
      </c>
      <c r="R13" s="266">
        <f>+((((F13/TAN(B13))+((F13-0.3)/TAN(B13)))+D13)*0.3)*I13</f>
        <v>3.358228721189688</v>
      </c>
      <c r="S13" s="116"/>
      <c r="T13" s="263">
        <f>+E13*I13</f>
        <v>11.435890249788377</v>
      </c>
      <c r="U13" s="264"/>
      <c r="V13" s="265">
        <f>+D13*I13</f>
        <v>6.6000000000000005</v>
      </c>
      <c r="W13" s="266">
        <f>+J13-Q13-R13</f>
        <v>21.156611845062876</v>
      </c>
      <c r="X13" s="266">
        <f>+(Q13+R13)</f>
        <v>5.8972235296196978</v>
      </c>
    </row>
    <row r="14" spans="1:24">
      <c r="A14" s="281"/>
      <c r="B14" s="246"/>
      <c r="C14" s="247"/>
      <c r="D14" s="248"/>
      <c r="E14" s="248"/>
      <c r="F14" s="249"/>
      <c r="G14" s="250"/>
      <c r="H14" s="273"/>
      <c r="I14" s="266"/>
      <c r="J14" s="276"/>
      <c r="K14" s="277"/>
      <c r="L14" s="278"/>
      <c r="M14" s="248"/>
      <c r="N14" s="270"/>
      <c r="O14" s="248"/>
      <c r="P14" s="271"/>
      <c r="Q14" s="266"/>
      <c r="R14" s="266"/>
      <c r="S14" s="116"/>
      <c r="T14" s="263"/>
      <c r="U14" s="264"/>
      <c r="V14" s="265"/>
      <c r="W14" s="266"/>
      <c r="X14" s="266"/>
    </row>
    <row r="15" spans="1:24">
      <c r="A15" s="280" t="s">
        <v>207</v>
      </c>
      <c r="B15" s="246">
        <f>3.14*C15/180</f>
        <v>1.3083333333333333</v>
      </c>
      <c r="C15" s="284">
        <v>75</v>
      </c>
      <c r="D15" s="248">
        <v>2.2000000000000002</v>
      </c>
      <c r="E15" s="286">
        <f>2*(F15/TAN(B15))+D15</f>
        <v>3.8119634165961256</v>
      </c>
      <c r="F15" s="249">
        <v>3</v>
      </c>
      <c r="G15" s="282">
        <f>+(E15+D15)/2*F15</f>
        <v>9.0179451248941902</v>
      </c>
      <c r="H15" s="282">
        <v>3</v>
      </c>
      <c r="I15" s="282">
        <v>3</v>
      </c>
      <c r="J15" s="299">
        <f>+G15*I15</f>
        <v>27.053835374682571</v>
      </c>
      <c r="K15" s="277">
        <v>0.2</v>
      </c>
      <c r="L15" s="294">
        <f>0.1+(K15/20)</f>
        <v>0.11</v>
      </c>
      <c r="M15" s="286">
        <v>0.3</v>
      </c>
      <c r="N15" s="295">
        <f>K15^2*PI()/4</f>
        <v>3.1415926535897934E-2</v>
      </c>
      <c r="O15" s="286">
        <f>+K15+L15+M15</f>
        <v>0.61</v>
      </c>
      <c r="P15" s="297">
        <f>((O15/TAN(B15))+D15)*O15-N15</f>
        <v>1.4105526713500052</v>
      </c>
      <c r="Q15" s="266">
        <f>+(I15-1.2)*P15</f>
        <v>2.5389948084300094</v>
      </c>
      <c r="R15" s="266">
        <f>+((((F15/TAN(B15))+((F15-0.3)/TAN(B15)))+D15)*0.3)*I15</f>
        <v>3.358228721189688</v>
      </c>
      <c r="S15" s="116"/>
      <c r="T15" s="288">
        <f>+E15*I15</f>
        <v>11.435890249788377</v>
      </c>
      <c r="U15" s="289"/>
      <c r="V15" s="292">
        <f>+D15*I15</f>
        <v>6.6000000000000005</v>
      </c>
      <c r="W15" s="266">
        <f>+J15-Q15-R15</f>
        <v>21.156611845062876</v>
      </c>
      <c r="X15" s="266">
        <f>+(Q15+R15)</f>
        <v>5.8972235296196978</v>
      </c>
    </row>
    <row r="16" spans="1:24">
      <c r="A16" s="281"/>
      <c r="B16" s="246"/>
      <c r="C16" s="285"/>
      <c r="D16" s="248"/>
      <c r="E16" s="287"/>
      <c r="F16" s="249"/>
      <c r="G16" s="273"/>
      <c r="H16" s="273"/>
      <c r="I16" s="273"/>
      <c r="J16" s="300"/>
      <c r="K16" s="277"/>
      <c r="L16" s="268"/>
      <c r="M16" s="287"/>
      <c r="N16" s="296"/>
      <c r="O16" s="287"/>
      <c r="P16" s="298"/>
      <c r="Q16" s="266"/>
      <c r="R16" s="266"/>
      <c r="S16" s="116"/>
      <c r="T16" s="290"/>
      <c r="U16" s="291"/>
      <c r="V16" s="293"/>
      <c r="W16" s="266"/>
      <c r="X16" s="266"/>
    </row>
    <row r="17" spans="1:24">
      <c r="A17" s="280"/>
      <c r="B17" s="246">
        <f>3.14*C17/180</f>
        <v>1.3083333333333333</v>
      </c>
      <c r="C17" s="284">
        <v>75</v>
      </c>
      <c r="D17" s="248">
        <v>0.5</v>
      </c>
      <c r="E17" s="286">
        <f>2*(F17/TAN(B17))+D17</f>
        <v>1.1985174805249876</v>
      </c>
      <c r="F17" s="249">
        <v>1.3</v>
      </c>
      <c r="G17" s="282">
        <f>+(E17+D17)/2*F17</f>
        <v>1.1040363623412419</v>
      </c>
      <c r="H17" s="282"/>
      <c r="I17" s="301"/>
      <c r="J17" s="299">
        <f>+G17*I17</f>
        <v>0</v>
      </c>
      <c r="K17" s="277">
        <v>0.2</v>
      </c>
      <c r="L17" s="294">
        <f>0.1+(K17/20)</f>
        <v>0.11</v>
      </c>
      <c r="M17" s="286">
        <v>0.3</v>
      </c>
      <c r="N17" s="295">
        <f>K17^2*PI()/4</f>
        <v>3.1415926535897934E-2</v>
      </c>
      <c r="O17" s="286">
        <f>+K17+L17+M17</f>
        <v>0.61</v>
      </c>
      <c r="P17" s="297">
        <f>((O17/TAN(B17))+D17)*O17-N17</f>
        <v>0.37355267135000508</v>
      </c>
      <c r="Q17" s="266"/>
      <c r="R17" s="266">
        <f>+((((F17/TAN(B17))+((F17-0.3)/TAN(B17)))+D17)*0.3)*I17</f>
        <v>0</v>
      </c>
      <c r="S17" s="116"/>
      <c r="T17" s="288">
        <f>+E17*I17</f>
        <v>0</v>
      </c>
      <c r="U17" s="289"/>
      <c r="V17" s="292">
        <f>+D17*I17</f>
        <v>0</v>
      </c>
      <c r="W17" s="266">
        <f>+J17-Q17-R17</f>
        <v>0</v>
      </c>
      <c r="X17" s="266">
        <f>+(Q17+R17)</f>
        <v>0</v>
      </c>
    </row>
    <row r="18" spans="1:24">
      <c r="A18" s="281"/>
      <c r="B18" s="246"/>
      <c r="C18" s="285"/>
      <c r="D18" s="248"/>
      <c r="E18" s="287"/>
      <c r="F18" s="249"/>
      <c r="G18" s="273"/>
      <c r="H18" s="273"/>
      <c r="I18" s="275"/>
      <c r="J18" s="300"/>
      <c r="K18" s="277"/>
      <c r="L18" s="268"/>
      <c r="M18" s="287"/>
      <c r="N18" s="296"/>
      <c r="O18" s="287"/>
      <c r="P18" s="298"/>
      <c r="Q18" s="266"/>
      <c r="R18" s="266"/>
      <c r="S18" s="116"/>
      <c r="T18" s="290"/>
      <c r="U18" s="291"/>
      <c r="V18" s="293"/>
      <c r="W18" s="266"/>
      <c r="X18" s="266"/>
    </row>
    <row r="19" spans="1:24">
      <c r="A19" s="280"/>
      <c r="B19" s="246">
        <f>3.14*C19/180</f>
        <v>1.3083333333333333</v>
      </c>
      <c r="C19" s="284">
        <v>75</v>
      </c>
      <c r="D19" s="248">
        <v>0.5</v>
      </c>
      <c r="E19" s="286">
        <f>2*(F19/TAN(B19))+D19</f>
        <v>1.1985174805249876</v>
      </c>
      <c r="F19" s="249">
        <v>1.3</v>
      </c>
      <c r="G19" s="282">
        <f>+(E19+D19)/2*F19</f>
        <v>1.1040363623412419</v>
      </c>
      <c r="H19" s="282"/>
      <c r="I19" s="301"/>
      <c r="J19" s="299">
        <f>+G19*I19</f>
        <v>0</v>
      </c>
      <c r="K19" s="277">
        <v>0.2</v>
      </c>
      <c r="L19" s="294">
        <f>0.1+(K19/20)</f>
        <v>0.11</v>
      </c>
      <c r="M19" s="286">
        <v>0.3</v>
      </c>
      <c r="N19" s="295">
        <f>K19^2*PI()/4</f>
        <v>3.1415926535897934E-2</v>
      </c>
      <c r="O19" s="286">
        <f>+K19+L19+M19</f>
        <v>0.61</v>
      </c>
      <c r="P19" s="297">
        <f>((O19/TAN(B19))+D19)*O19-N19</f>
        <v>0.37355267135000508</v>
      </c>
      <c r="Q19" s="266"/>
      <c r="R19" s="266">
        <f>+((((F19/TAN(B19))+((F19-0.3)/TAN(B19)))+D19)*0.3)*I19</f>
        <v>0</v>
      </c>
      <c r="S19" s="116"/>
      <c r="T19" s="288">
        <f>+E19*I19</f>
        <v>0</v>
      </c>
      <c r="U19" s="289"/>
      <c r="V19" s="292">
        <f>+D19*I19</f>
        <v>0</v>
      </c>
      <c r="W19" s="266">
        <f>+J19-Q19-R19</f>
        <v>0</v>
      </c>
      <c r="X19" s="266">
        <f>+(Q19+R19)</f>
        <v>0</v>
      </c>
    </row>
    <row r="20" spans="1:24">
      <c r="A20" s="281"/>
      <c r="B20" s="246"/>
      <c r="C20" s="285"/>
      <c r="D20" s="248"/>
      <c r="E20" s="287"/>
      <c r="F20" s="249"/>
      <c r="G20" s="273"/>
      <c r="H20" s="273"/>
      <c r="I20" s="275"/>
      <c r="J20" s="300"/>
      <c r="K20" s="277"/>
      <c r="L20" s="268"/>
      <c r="M20" s="287"/>
      <c r="N20" s="296"/>
      <c r="O20" s="287"/>
      <c r="P20" s="298"/>
      <c r="Q20" s="266"/>
      <c r="R20" s="266"/>
      <c r="S20" s="116"/>
      <c r="T20" s="290"/>
      <c r="U20" s="291"/>
      <c r="V20" s="293"/>
      <c r="W20" s="266"/>
      <c r="X20" s="266"/>
    </row>
    <row r="21" spans="1:24">
      <c r="A21" s="280"/>
      <c r="B21" s="246">
        <f>3.14*C21/180</f>
        <v>1.3083333333333333</v>
      </c>
      <c r="C21" s="284">
        <v>75</v>
      </c>
      <c r="D21" s="248">
        <v>0.5</v>
      </c>
      <c r="E21" s="286">
        <f>2*(F21/TAN(B21))+D21</f>
        <v>0.5</v>
      </c>
      <c r="F21" s="302"/>
      <c r="G21" s="282">
        <f>+(E21+D21)/2*F21</f>
        <v>0</v>
      </c>
      <c r="H21" s="282"/>
      <c r="I21" s="301"/>
      <c r="J21" s="299">
        <f>+G21*I21</f>
        <v>0</v>
      </c>
      <c r="K21" s="277">
        <v>0.2</v>
      </c>
      <c r="L21" s="294">
        <f>0.1+(K21/20)</f>
        <v>0.11</v>
      </c>
      <c r="M21" s="286">
        <v>0.3</v>
      </c>
      <c r="N21" s="295">
        <f>K21^2*PI()/4</f>
        <v>3.1415926535897934E-2</v>
      </c>
      <c r="O21" s="286">
        <f>+K21+L21+M21</f>
        <v>0.61</v>
      </c>
      <c r="P21" s="297">
        <f>((O21/TAN(B21))+D21)*O21-N21</f>
        <v>0.37355267135000508</v>
      </c>
      <c r="Q21" s="266"/>
      <c r="R21" s="266">
        <f>+((((F21/TAN(B21))+((F21-0.3)/TAN(B21)))+D21)*0.3)*I21</f>
        <v>0</v>
      </c>
      <c r="S21" s="116"/>
      <c r="T21" s="288">
        <f>+E21*I21</f>
        <v>0</v>
      </c>
      <c r="U21" s="289"/>
      <c r="V21" s="292">
        <f>+D21*I21</f>
        <v>0</v>
      </c>
      <c r="W21" s="266">
        <f>+J21-Q21-R21</f>
        <v>0</v>
      </c>
      <c r="X21" s="266">
        <f>+(Q21+R21)</f>
        <v>0</v>
      </c>
    </row>
    <row r="22" spans="1:24">
      <c r="A22" s="281"/>
      <c r="B22" s="246"/>
      <c r="C22" s="285"/>
      <c r="D22" s="248"/>
      <c r="E22" s="287"/>
      <c r="F22" s="303"/>
      <c r="G22" s="273"/>
      <c r="H22" s="273"/>
      <c r="I22" s="275"/>
      <c r="J22" s="300"/>
      <c r="K22" s="277"/>
      <c r="L22" s="268"/>
      <c r="M22" s="287"/>
      <c r="N22" s="296"/>
      <c r="O22" s="287"/>
      <c r="P22" s="298"/>
      <c r="Q22" s="266"/>
      <c r="R22" s="266"/>
      <c r="S22" s="116"/>
      <c r="T22" s="290"/>
      <c r="U22" s="291"/>
      <c r="V22" s="293"/>
      <c r="W22" s="266"/>
      <c r="X22" s="266"/>
    </row>
    <row r="23" spans="1:24">
      <c r="A23" s="280"/>
      <c r="B23" s="246">
        <f>3.14*C23/180</f>
        <v>1.3083333333333333</v>
      </c>
      <c r="C23" s="284">
        <v>75</v>
      </c>
      <c r="D23" s="248">
        <v>0.5</v>
      </c>
      <c r="E23" s="286">
        <f>2*(F23/TAN(B23))+D23</f>
        <v>0.5</v>
      </c>
      <c r="F23" s="302"/>
      <c r="G23" s="282">
        <f>+(E23+D23)/2*F23</f>
        <v>0</v>
      </c>
      <c r="H23" s="282"/>
      <c r="I23" s="301"/>
      <c r="J23" s="299">
        <f>+G23*I23</f>
        <v>0</v>
      </c>
      <c r="K23" s="277">
        <v>0.2</v>
      </c>
      <c r="L23" s="294">
        <f>0.1+(K23/20)</f>
        <v>0.11</v>
      </c>
      <c r="M23" s="286">
        <v>0.3</v>
      </c>
      <c r="N23" s="295">
        <f>K23^2*PI()/4</f>
        <v>3.1415926535897934E-2</v>
      </c>
      <c r="O23" s="286">
        <f>+K23+L23+M23</f>
        <v>0.61</v>
      </c>
      <c r="P23" s="297">
        <f>((O23/TAN(B23))+D23)*O23-N23</f>
        <v>0.37355267135000508</v>
      </c>
      <c r="Q23" s="301"/>
      <c r="R23" s="266">
        <f>+((((F23/TAN(B23))+((F23-0.3)/TAN(B23)))+D23)*0.3)*I23</f>
        <v>0</v>
      </c>
      <c r="S23" s="117"/>
      <c r="T23" s="288">
        <f>+E23*I23</f>
        <v>0</v>
      </c>
      <c r="U23" s="289"/>
      <c r="V23" s="301">
        <f>+D23*I23</f>
        <v>0</v>
      </c>
      <c r="W23" s="304">
        <f>+J23-Q23-R23</f>
        <v>0</v>
      </c>
      <c r="X23" s="266">
        <f>+(Q23+R23)</f>
        <v>0</v>
      </c>
    </row>
    <row r="24" spans="1:24">
      <c r="A24" s="281"/>
      <c r="B24" s="246"/>
      <c r="C24" s="285"/>
      <c r="D24" s="248"/>
      <c r="E24" s="287"/>
      <c r="F24" s="303"/>
      <c r="G24" s="273"/>
      <c r="H24" s="273"/>
      <c r="I24" s="275"/>
      <c r="J24" s="300"/>
      <c r="K24" s="277"/>
      <c r="L24" s="268"/>
      <c r="M24" s="287"/>
      <c r="N24" s="296"/>
      <c r="O24" s="287"/>
      <c r="P24" s="298"/>
      <c r="Q24" s="275"/>
      <c r="R24" s="266"/>
      <c r="S24" s="117"/>
      <c r="T24" s="290"/>
      <c r="U24" s="291"/>
      <c r="V24" s="275"/>
      <c r="W24" s="304"/>
      <c r="X24" s="266"/>
    </row>
    <row r="25" spans="1:24">
      <c r="A25" s="280"/>
      <c r="B25" s="246"/>
      <c r="C25" s="247"/>
      <c r="D25" s="248"/>
      <c r="E25" s="248"/>
      <c r="F25" s="271"/>
      <c r="G25" s="307"/>
      <c r="H25" s="308"/>
      <c r="I25" s="310"/>
      <c r="J25" s="312"/>
      <c r="K25" s="277"/>
      <c r="L25" s="278"/>
      <c r="M25" s="248"/>
      <c r="N25" s="270"/>
      <c r="O25" s="248"/>
      <c r="P25" s="271"/>
      <c r="Q25" s="266"/>
      <c r="R25" s="315"/>
      <c r="S25" s="248"/>
      <c r="T25" s="248"/>
      <c r="U25" s="249"/>
      <c r="V25" s="277"/>
      <c r="W25" s="317"/>
      <c r="X25" s="277"/>
    </row>
    <row r="26" spans="1:24" ht="15.75" thickBot="1">
      <c r="A26" s="305"/>
      <c r="B26" s="306"/>
      <c r="C26" s="284"/>
      <c r="D26" s="286"/>
      <c r="E26" s="286"/>
      <c r="F26" s="297"/>
      <c r="G26" s="308"/>
      <c r="H26" s="309"/>
      <c r="I26" s="311"/>
      <c r="J26" s="313"/>
      <c r="K26" s="314"/>
      <c r="L26" s="294"/>
      <c r="M26" s="286"/>
      <c r="N26" s="295"/>
      <c r="O26" s="286"/>
      <c r="P26" s="297"/>
      <c r="Q26" s="301"/>
      <c r="R26" s="291"/>
      <c r="S26" s="286"/>
      <c r="T26" s="286"/>
      <c r="U26" s="302"/>
      <c r="V26" s="316"/>
      <c r="W26" s="318"/>
      <c r="X26" s="314"/>
    </row>
    <row r="27" spans="1:24" ht="15.75">
      <c r="A27" s="3"/>
      <c r="B27" s="3"/>
      <c r="C27" s="3"/>
      <c r="D27" s="3"/>
      <c r="E27" s="3"/>
      <c r="F27" s="329" t="s">
        <v>201</v>
      </c>
      <c r="G27" s="118"/>
      <c r="H27" s="331">
        <f>SUM(H9:H26)</f>
        <v>122</v>
      </c>
      <c r="I27" s="333">
        <f>SUM(I9:I24)</f>
        <v>124</v>
      </c>
      <c r="J27" s="335">
        <f>SUM(J9:J26)</f>
        <v>176.65106210999232</v>
      </c>
      <c r="K27" s="336"/>
      <c r="L27" s="337"/>
      <c r="M27" s="337"/>
      <c r="N27" s="337"/>
      <c r="O27" s="337"/>
      <c r="P27" s="324"/>
      <c r="Q27" s="321">
        <f>SUM(Q9:Q26)</f>
        <v>47.09316657247993</v>
      </c>
      <c r="R27" s="319">
        <f>SUM(R9:R26)</f>
        <v>45.226905150635361</v>
      </c>
      <c r="S27" s="321">
        <f>SUM(S11:S26)</f>
        <v>0</v>
      </c>
      <c r="T27" s="323">
        <f>SUM(T9:U26)</f>
        <v>160.7505236850138</v>
      </c>
      <c r="U27" s="324"/>
      <c r="V27" s="327">
        <f>SUM(V9:V26)</f>
        <v>72.199999999999989</v>
      </c>
      <c r="W27" s="327">
        <f>SUM(W9:W26)</f>
        <v>84.330990386877062</v>
      </c>
      <c r="X27" s="321">
        <f>SUM(X9:X26)</f>
        <v>92.320071723115277</v>
      </c>
    </row>
    <row r="28" spans="1:24" ht="16.5" thickBot="1">
      <c r="F28" s="330"/>
      <c r="G28" s="119"/>
      <c r="H28" s="332"/>
      <c r="I28" s="334"/>
      <c r="J28" s="328"/>
      <c r="K28" s="325"/>
      <c r="L28" s="338"/>
      <c r="M28" s="338"/>
      <c r="N28" s="338"/>
      <c r="O28" s="338"/>
      <c r="P28" s="326"/>
      <c r="Q28" s="322"/>
      <c r="R28" s="320"/>
      <c r="S28" s="322"/>
      <c r="T28" s="325"/>
      <c r="U28" s="326"/>
      <c r="V28" s="326"/>
      <c r="W28" s="326"/>
      <c r="X28" s="328"/>
    </row>
    <row r="31" spans="1:24" ht="15.75">
      <c r="C31" s="120" t="s">
        <v>202</v>
      </c>
      <c r="I31" s="2"/>
    </row>
  </sheetData>
  <mergeCells count="222">
    <mergeCell ref="R27:R28"/>
    <mergeCell ref="S27:S28"/>
    <mergeCell ref="T27:U28"/>
    <mergeCell ref="V27:V28"/>
    <mergeCell ref="W27:W28"/>
    <mergeCell ref="X27:X28"/>
    <mergeCell ref="F27:F28"/>
    <mergeCell ref="H27:H28"/>
    <mergeCell ref="I27:I28"/>
    <mergeCell ref="J27:J28"/>
    <mergeCell ref="K27:P28"/>
    <mergeCell ref="Q27:Q28"/>
    <mergeCell ref="V23:V24"/>
    <mergeCell ref="R25:R26"/>
    <mergeCell ref="S25:S26"/>
    <mergeCell ref="T25:U26"/>
    <mergeCell ref="V25:V26"/>
    <mergeCell ref="W25:W26"/>
    <mergeCell ref="X25:X26"/>
    <mergeCell ref="L25:L26"/>
    <mergeCell ref="M25:M26"/>
    <mergeCell ref="N25:N26"/>
    <mergeCell ref="O25:O26"/>
    <mergeCell ref="P25:P26"/>
    <mergeCell ref="Q25:Q26"/>
    <mergeCell ref="A25:A26"/>
    <mergeCell ref="B25:B26"/>
    <mergeCell ref="C25:C26"/>
    <mergeCell ref="D25:D26"/>
    <mergeCell ref="E25:E26"/>
    <mergeCell ref="L23:L24"/>
    <mergeCell ref="M23:M24"/>
    <mergeCell ref="N23:N24"/>
    <mergeCell ref="O23:O24"/>
    <mergeCell ref="F23:F24"/>
    <mergeCell ref="G23:G24"/>
    <mergeCell ref="H23:H24"/>
    <mergeCell ref="I23:I24"/>
    <mergeCell ref="J23:J24"/>
    <mergeCell ref="K23:K24"/>
    <mergeCell ref="F25:F26"/>
    <mergeCell ref="G25:G26"/>
    <mergeCell ref="H25:H26"/>
    <mergeCell ref="I25:I26"/>
    <mergeCell ref="J25:J26"/>
    <mergeCell ref="K25:K26"/>
    <mergeCell ref="X21:X22"/>
    <mergeCell ref="A23:A24"/>
    <mergeCell ref="B23:B24"/>
    <mergeCell ref="C23:C24"/>
    <mergeCell ref="D23:D24"/>
    <mergeCell ref="E23:E24"/>
    <mergeCell ref="L21:L22"/>
    <mergeCell ref="M21:M22"/>
    <mergeCell ref="N21:N22"/>
    <mergeCell ref="O21:O22"/>
    <mergeCell ref="P21:P22"/>
    <mergeCell ref="Q21:Q22"/>
    <mergeCell ref="F21:F22"/>
    <mergeCell ref="G21:G22"/>
    <mergeCell ref="H21:H22"/>
    <mergeCell ref="I21:I22"/>
    <mergeCell ref="J21:J22"/>
    <mergeCell ref="K21:K22"/>
    <mergeCell ref="W23:W24"/>
    <mergeCell ref="X23:X24"/>
    <mergeCell ref="P23:P24"/>
    <mergeCell ref="Q23:Q24"/>
    <mergeCell ref="R23:R24"/>
    <mergeCell ref="T23:U24"/>
    <mergeCell ref="V19:V20"/>
    <mergeCell ref="W19:W20"/>
    <mergeCell ref="X19:X20"/>
    <mergeCell ref="A21:A22"/>
    <mergeCell ref="B21:B22"/>
    <mergeCell ref="C21:C22"/>
    <mergeCell ref="D21:D22"/>
    <mergeCell ref="E21:E22"/>
    <mergeCell ref="L19:L20"/>
    <mergeCell ref="M19:M20"/>
    <mergeCell ref="N19:N20"/>
    <mergeCell ref="O19:O20"/>
    <mergeCell ref="P19:P20"/>
    <mergeCell ref="Q19:Q20"/>
    <mergeCell ref="F19:F20"/>
    <mergeCell ref="G19:G20"/>
    <mergeCell ref="H19:H20"/>
    <mergeCell ref="I19:I20"/>
    <mergeCell ref="J19:J20"/>
    <mergeCell ref="K19:K20"/>
    <mergeCell ref="R21:R22"/>
    <mergeCell ref="T21:U22"/>
    <mergeCell ref="V21:V22"/>
    <mergeCell ref="W21:W22"/>
    <mergeCell ref="Q17:Q18"/>
    <mergeCell ref="F17:F18"/>
    <mergeCell ref="G17:G18"/>
    <mergeCell ref="H17:H18"/>
    <mergeCell ref="I17:I18"/>
    <mergeCell ref="J17:J18"/>
    <mergeCell ref="K17:K18"/>
    <mergeCell ref="R19:R20"/>
    <mergeCell ref="T19:U20"/>
    <mergeCell ref="A19:A20"/>
    <mergeCell ref="B19:B20"/>
    <mergeCell ref="C19:C20"/>
    <mergeCell ref="D19:D20"/>
    <mergeCell ref="E19:E20"/>
    <mergeCell ref="L17:L18"/>
    <mergeCell ref="M17:M18"/>
    <mergeCell ref="N17:N18"/>
    <mergeCell ref="O17:O18"/>
    <mergeCell ref="X15:X16"/>
    <mergeCell ref="A17:A18"/>
    <mergeCell ref="B17:B18"/>
    <mergeCell ref="C17:C18"/>
    <mergeCell ref="D17:D18"/>
    <mergeCell ref="E17:E18"/>
    <mergeCell ref="L15:L16"/>
    <mergeCell ref="M15:M16"/>
    <mergeCell ref="N15:N16"/>
    <mergeCell ref="O15:O16"/>
    <mergeCell ref="P15:P16"/>
    <mergeCell ref="Q15:Q16"/>
    <mergeCell ref="F15:F16"/>
    <mergeCell ref="G15:G16"/>
    <mergeCell ref="H15:H16"/>
    <mergeCell ref="I15:I16"/>
    <mergeCell ref="J15:J16"/>
    <mergeCell ref="K15:K16"/>
    <mergeCell ref="R17:R18"/>
    <mergeCell ref="T17:U18"/>
    <mergeCell ref="V17:V18"/>
    <mergeCell ref="W17:W18"/>
    <mergeCell ref="X17:X18"/>
    <mergeCell ref="P17:P18"/>
    <mergeCell ref="V13:V14"/>
    <mergeCell ref="W13:W14"/>
    <mergeCell ref="X13:X14"/>
    <mergeCell ref="A15:A16"/>
    <mergeCell ref="B15:B16"/>
    <mergeCell ref="C15:C16"/>
    <mergeCell ref="D15:D16"/>
    <mergeCell ref="E15:E16"/>
    <mergeCell ref="L13:L14"/>
    <mergeCell ref="M13:M14"/>
    <mergeCell ref="N13:N14"/>
    <mergeCell ref="O13:O14"/>
    <mergeCell ref="P13:P14"/>
    <mergeCell ref="Q13:Q14"/>
    <mergeCell ref="F13:F14"/>
    <mergeCell ref="G13:G14"/>
    <mergeCell ref="H13:H14"/>
    <mergeCell ref="I13:I14"/>
    <mergeCell ref="J13:J14"/>
    <mergeCell ref="K13:K14"/>
    <mergeCell ref="R15:R16"/>
    <mergeCell ref="T15:U16"/>
    <mergeCell ref="V15:V16"/>
    <mergeCell ref="W15:W16"/>
    <mergeCell ref="S11:S12"/>
    <mergeCell ref="T11:U12"/>
    <mergeCell ref="V11:V12"/>
    <mergeCell ref="W11:W12"/>
    <mergeCell ref="X11:X12"/>
    <mergeCell ref="A13:A14"/>
    <mergeCell ref="B13:B14"/>
    <mergeCell ref="C13:C14"/>
    <mergeCell ref="D13:D14"/>
    <mergeCell ref="E13:E14"/>
    <mergeCell ref="M11:M12"/>
    <mergeCell ref="N11:N12"/>
    <mergeCell ref="O11:O12"/>
    <mergeCell ref="P11:P12"/>
    <mergeCell ref="Q11:Q12"/>
    <mergeCell ref="R11:R12"/>
    <mergeCell ref="G11:G12"/>
    <mergeCell ref="H11:H12"/>
    <mergeCell ref="I11:I12"/>
    <mergeCell ref="J11:J12"/>
    <mergeCell ref="K11:K12"/>
    <mergeCell ref="L11:L12"/>
    <mergeCell ref="R13:R14"/>
    <mergeCell ref="T13:U14"/>
    <mergeCell ref="A11:A12"/>
    <mergeCell ref="B11:B12"/>
    <mergeCell ref="C11:C12"/>
    <mergeCell ref="D11:D12"/>
    <mergeCell ref="E11:E12"/>
    <mergeCell ref="F11:F12"/>
    <mergeCell ref="N9:N10"/>
    <mergeCell ref="O9:O10"/>
    <mergeCell ref="P9:P10"/>
    <mergeCell ref="H9:H10"/>
    <mergeCell ref="I9:I10"/>
    <mergeCell ref="J9:J10"/>
    <mergeCell ref="K9:K10"/>
    <mergeCell ref="L9:L10"/>
    <mergeCell ref="M9:M10"/>
    <mergeCell ref="W6:W7"/>
    <mergeCell ref="X6:X7"/>
    <mergeCell ref="T8:U8"/>
    <mergeCell ref="A9:A10"/>
    <mergeCell ref="B9:B10"/>
    <mergeCell ref="C9:C10"/>
    <mergeCell ref="D9:D10"/>
    <mergeCell ref="E9:E10"/>
    <mergeCell ref="F9:F10"/>
    <mergeCell ref="G9:G10"/>
    <mergeCell ref="I6:J7"/>
    <mergeCell ref="K6:Q7"/>
    <mergeCell ref="R6:R7"/>
    <mergeCell ref="S6:S7"/>
    <mergeCell ref="T6:U7"/>
    <mergeCell ref="V6:V7"/>
    <mergeCell ref="T9:U10"/>
    <mergeCell ref="V9:V10"/>
    <mergeCell ref="W9:W10"/>
    <mergeCell ref="X9:X10"/>
    <mergeCell ref="Q9:Q10"/>
    <mergeCell ref="R9:R10"/>
    <mergeCell ref="S9:S10"/>
  </mergeCells>
  <conditionalFormatting sqref="G3:H5 G25:H25 G13:H13 G11:H11 G9:H9">
    <cfRule type="cellIs" priority="1" stopIfTrue="1" operator="between">
      <formula>#REF!</formula>
      <formula>#REF!</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1</vt:i4>
      </vt:variant>
    </vt:vector>
  </HeadingPairs>
  <TitlesOfParts>
    <vt:vector size="5" baseType="lpstr">
      <vt:lpstr>GO+REKEPITULACIJA</vt:lpstr>
      <vt:lpstr>List1</vt:lpstr>
      <vt:lpstr>kolicine</vt:lpstr>
      <vt:lpstr>kanalizacija-kolicine</vt:lpstr>
      <vt:lpstr>'GO+REKEPITULACIJA'!Področje_tiskanja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Marko Spacapan</dc:creator>
  <cp:lastModifiedBy>Aleš</cp:lastModifiedBy>
  <cp:lastPrinted>2017-03-16T14:23:56Z</cp:lastPrinted>
  <dcterms:created xsi:type="dcterms:W3CDTF">2015-06-18T07:17:39Z</dcterms:created>
  <dcterms:modified xsi:type="dcterms:W3CDTF">2019-05-01T15:47:50Z</dcterms:modified>
</cp:coreProperties>
</file>