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85" tabRatio="883" activeTab="0"/>
  </bookViews>
  <sheets>
    <sheet name="1. MESTNA UPRAVA" sheetId="1" r:id="rId1"/>
    <sheet name="2. CIVILNA ZAŠČITA , GASILCI" sheetId="2" r:id="rId2"/>
    <sheet name="3. INFRASTRUKTURA" sheetId="3" r:id="rId3"/>
    <sheet name="4. OKOLJE IN PROSTOR" sheetId="4" r:id="rId4"/>
    <sheet name="5. GOSPODARSTVO" sheetId="5" r:id="rId5"/>
    <sheet name="6. ŠOLSTVO" sheetId="6" r:id="rId6"/>
    <sheet name="7. OTROŠKO VARSTVO" sheetId="7" r:id="rId7"/>
    <sheet name="8. KULTURA" sheetId="8" r:id="rId8"/>
    <sheet name="9. ŠPORT" sheetId="9" r:id="rId9"/>
    <sheet name="10. SOCIALNO VARSTVO" sheetId="10" r:id="rId10"/>
    <sheet name="11. ZDRAVSTVO" sheetId="11" r:id="rId11"/>
    <sheet name="12. MLADINSKA DEJAVNOST" sheetId="12" r:id="rId12"/>
    <sheet name="13. SPLOŠNI DEL" sheetId="13" r:id="rId13"/>
  </sheets>
  <definedNames>
    <definedName name="_xlnm.Print_Area" localSheetId="0">'1. MESTNA UPRAVA'!$A$1:$G$27</definedName>
    <definedName name="_xlnm.Print_Area" localSheetId="9">'10. SOCIALNO VARSTVO'!$A$1:$G$20</definedName>
    <definedName name="_xlnm.Print_Area" localSheetId="10">'11. ZDRAVSTVO'!$A$1:$G$9</definedName>
    <definedName name="_xlnm.Print_Area" localSheetId="11">'12. MLADINSKA DEJAVNOST'!$A$1:$G$13</definedName>
    <definedName name="_xlnm.Print_Area" localSheetId="12">'13. SPLOŠNI DEL'!$A$1:$G$37</definedName>
    <definedName name="_xlnm.Print_Area" localSheetId="1">'2. CIVILNA ZAŠČITA , GASILCI'!$A$1:$G$18</definedName>
    <definedName name="_xlnm.Print_Area" localSheetId="2">'3. INFRASTRUKTURA'!$A$1:$G$34</definedName>
    <definedName name="_xlnm.Print_Area" localSheetId="3">'4. OKOLJE IN PROSTOR'!$A$1:$G$9</definedName>
    <definedName name="_xlnm.Print_Area" localSheetId="4">'5. GOSPODARSTVO'!$A$1:$G$33</definedName>
    <definedName name="_xlnm.Print_Area" localSheetId="5">'6. ŠOLSTVO'!$A$1:$G$24</definedName>
    <definedName name="_xlnm.Print_Area" localSheetId="6">'7. OTROŠKO VARSTVO'!$A$1:$G$18</definedName>
    <definedName name="_xlnm.Print_Area" localSheetId="7">'8. KULTURA'!$A$1:$G$35</definedName>
    <definedName name="_xlnm.Print_Area" localSheetId="8">'9. ŠPORT'!$A$1:$G$29</definedName>
    <definedName name="_xlnm.Print_Titles" localSheetId="0">'1. MESTNA UPRAVA'!$1:$2</definedName>
    <definedName name="_xlnm.Print_Titles" localSheetId="12">'13. SPLOŠNI DEL'!$1:$2</definedName>
    <definedName name="_xlnm.Print_Titles" localSheetId="2">'3. INFRASTRUKTURA'!$1:$2</definedName>
    <definedName name="_xlnm.Print_Titles" localSheetId="4">'5. GOSPODARSTVO'!$1:$2</definedName>
    <definedName name="_xlnm.Print_Titles" localSheetId="5">'6. ŠOLSTVO'!$1:$2</definedName>
    <definedName name="_xlnm.Print_Titles" localSheetId="7">'8. KULTURA'!$1:$2</definedName>
  </definedNames>
  <calcPr fullCalcOnLoad="1"/>
</workbook>
</file>

<file path=xl/sharedStrings.xml><?xml version="1.0" encoding="utf-8"?>
<sst xmlns="http://schemas.openxmlformats.org/spreadsheetml/2006/main" count="577" uniqueCount="370">
  <si>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</si>
  <si>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</si>
  <si>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</si>
  <si>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</si>
  <si>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</si>
  <si>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</si>
  <si>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</si>
  <si>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</si>
  <si>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</si>
  <si>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</si>
  <si>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</si>
  <si>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</si>
  <si>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</si>
  <si>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Nakup opreme</t>
  </si>
  <si>
    <t>Investicijsko vzdrževanje in obnove</t>
  </si>
  <si>
    <t>Investicijsko vzdrževanje in izboljšave</t>
  </si>
  <si>
    <t>Pogrebni stroški in mrtvoogledna služba</t>
  </si>
  <si>
    <t>Vzdrževanje grobišč in spomenikov</t>
  </si>
  <si>
    <t>Zveza potrošnikov</t>
  </si>
  <si>
    <t>Plačilo javne razsvetljave</t>
  </si>
  <si>
    <t>Subvencije za prevoz pitne vode</t>
  </si>
  <si>
    <t>Subvencije za kritje izgub v javnem prometu</t>
  </si>
  <si>
    <t>Financiranje političnih strank</t>
  </si>
  <si>
    <t>Zveza združenj borcev NOV</t>
  </si>
  <si>
    <t xml:space="preserve"> </t>
  </si>
  <si>
    <t>Redno vzdrževanje lokalnih cest in ulic</t>
  </si>
  <si>
    <t>Sanacija nelegalnih odlagališč</t>
  </si>
  <si>
    <t>Občinske nagrade</t>
  </si>
  <si>
    <t>POSTAV.</t>
  </si>
  <si>
    <t>PRORAČ.</t>
  </si>
  <si>
    <t>Drugi odhodki dejavnosti</t>
  </si>
  <si>
    <t>Primorska srečanja</t>
  </si>
  <si>
    <t>Samostojni nosilci</t>
  </si>
  <si>
    <t>Od tega:</t>
  </si>
  <si>
    <t>Tekoči transf.- sred.za plače - VRTCEV</t>
  </si>
  <si>
    <t>Tekoči transf.- sred.za prisp. - VRTCEV</t>
  </si>
  <si>
    <t>Subvencije stanarin</t>
  </si>
  <si>
    <t>Humanitarna društva</t>
  </si>
  <si>
    <t>Preprečevanje zasvojenosti</t>
  </si>
  <si>
    <t>Večje prireditve</t>
  </si>
  <si>
    <t>OZOTK služba</t>
  </si>
  <si>
    <t>OZOTK program</t>
  </si>
  <si>
    <t>Program CINDI</t>
  </si>
  <si>
    <t>Rdeči križ - stroški najema skladišča</t>
  </si>
  <si>
    <t>RAČUN FINANČNIH TERJATEV IN NALOŽB</t>
  </si>
  <si>
    <t>O P I S</t>
  </si>
  <si>
    <t>01,03</t>
  </si>
  <si>
    <t>01,01</t>
  </si>
  <si>
    <t>INDEKS</t>
  </si>
  <si>
    <t>13,01</t>
  </si>
  <si>
    <t>13,21</t>
  </si>
  <si>
    <t>13,20</t>
  </si>
  <si>
    <t>13,14</t>
  </si>
  <si>
    <t>13,15</t>
  </si>
  <si>
    <t>13,19</t>
  </si>
  <si>
    <t>13,16</t>
  </si>
  <si>
    <t>13,18</t>
  </si>
  <si>
    <t>01,02</t>
  </si>
  <si>
    <t>02,11</t>
  </si>
  <si>
    <t>02,09</t>
  </si>
  <si>
    <t>02,01</t>
  </si>
  <si>
    <t>02,07</t>
  </si>
  <si>
    <t>02,06</t>
  </si>
  <si>
    <t>02,05</t>
  </si>
  <si>
    <t>02,04</t>
  </si>
  <si>
    <t>02,03</t>
  </si>
  <si>
    <t>02,02</t>
  </si>
  <si>
    <t>03,24</t>
  </si>
  <si>
    <t>03,23</t>
  </si>
  <si>
    <t>03,21</t>
  </si>
  <si>
    <t>03,20</t>
  </si>
  <si>
    <t>03,07</t>
  </si>
  <si>
    <t>03,18</t>
  </si>
  <si>
    <t>03,17</t>
  </si>
  <si>
    <t>03,16</t>
  </si>
  <si>
    <t>03,15</t>
  </si>
  <si>
    <t>03,14</t>
  </si>
  <si>
    <t>03,13</t>
  </si>
  <si>
    <t>03,12</t>
  </si>
  <si>
    <t>03,11</t>
  </si>
  <si>
    <t>03,10</t>
  </si>
  <si>
    <t>03,09</t>
  </si>
  <si>
    <t>03,08</t>
  </si>
  <si>
    <t>03,05</t>
  </si>
  <si>
    <t>03,03</t>
  </si>
  <si>
    <t>03,02</t>
  </si>
  <si>
    <t>03,01</t>
  </si>
  <si>
    <r>
      <t>04,03</t>
    </r>
  </si>
  <si>
    <r>
      <t>04,02</t>
    </r>
  </si>
  <si>
    <t>04,01</t>
  </si>
  <si>
    <t>05,07</t>
  </si>
  <si>
    <t>05,09</t>
  </si>
  <si>
    <t>05,06</t>
  </si>
  <si>
    <r>
      <t>05,05</t>
    </r>
  </si>
  <si>
    <t>05,04</t>
  </si>
  <si>
    <r>
      <t>05,03</t>
    </r>
  </si>
  <si>
    <t>05,02</t>
  </si>
  <si>
    <t>05,01</t>
  </si>
  <si>
    <t>08,13</t>
  </si>
  <si>
    <t>08,12</t>
  </si>
  <si>
    <t>08,11</t>
  </si>
  <si>
    <t>08,10</t>
  </si>
  <si>
    <t>08,09</t>
  </si>
  <si>
    <t>08,08</t>
  </si>
  <si>
    <t>08,07</t>
  </si>
  <si>
    <t>08,06</t>
  </si>
  <si>
    <t>08,05</t>
  </si>
  <si>
    <t>08,04</t>
  </si>
  <si>
    <t>08,03</t>
  </si>
  <si>
    <t>08,02</t>
  </si>
  <si>
    <t>08,01</t>
  </si>
  <si>
    <t>06,14</t>
  </si>
  <si>
    <t>06,10</t>
  </si>
  <si>
    <t>06,09</t>
  </si>
  <si>
    <t>06,08</t>
  </si>
  <si>
    <t>06,07</t>
  </si>
  <si>
    <t>06,05</t>
  </si>
  <si>
    <t>06,03</t>
  </si>
  <si>
    <t>06,02</t>
  </si>
  <si>
    <t>06,01</t>
  </si>
  <si>
    <t>07,01</t>
  </si>
  <si>
    <t>07,02</t>
  </si>
  <si>
    <t>07,03</t>
  </si>
  <si>
    <t>07,04</t>
  </si>
  <si>
    <t>07,05</t>
  </si>
  <si>
    <t>09,14</t>
  </si>
  <si>
    <t>09,08</t>
  </si>
  <si>
    <t>09,07</t>
  </si>
  <si>
    <t>09,03</t>
  </si>
  <si>
    <t>09,05</t>
  </si>
  <si>
    <t>09,04</t>
  </si>
  <si>
    <t>09,02</t>
  </si>
  <si>
    <t>09,01</t>
  </si>
  <si>
    <t>Splošna proračunska rezervacija</t>
  </si>
  <si>
    <t>13,23</t>
  </si>
  <si>
    <t>Sofinanciranje SAZU</t>
  </si>
  <si>
    <t>05,11</t>
  </si>
  <si>
    <t>05,13</t>
  </si>
  <si>
    <t>05,17</t>
  </si>
  <si>
    <t>09,15</t>
  </si>
  <si>
    <t>09,16</t>
  </si>
  <si>
    <t>09,17</t>
  </si>
  <si>
    <t>05,18</t>
  </si>
  <si>
    <t>05,20</t>
  </si>
  <si>
    <t>Proračunska rezerva</t>
  </si>
  <si>
    <t xml:space="preserve">Stroški oglaševalskih storitev </t>
  </si>
  <si>
    <t>08,18</t>
  </si>
  <si>
    <t>Regresiranje prevozov  v šolo</t>
  </si>
  <si>
    <t>Sklad za izobraževanje</t>
  </si>
  <si>
    <t>Najemnina prostorov za visoko šolstvo</t>
  </si>
  <si>
    <t>Štipendije</t>
  </si>
  <si>
    <t>06,15</t>
  </si>
  <si>
    <t>09,18</t>
  </si>
  <si>
    <t>Združenje veteranov vojne za Slovenijo</t>
  </si>
  <si>
    <t xml:space="preserve">Nakup zemljišč </t>
  </si>
  <si>
    <t>Sofinanciranje ambulante Čepovan</t>
  </si>
  <si>
    <t>GK - za nakup knjig</t>
  </si>
  <si>
    <t>Pomoč na domu</t>
  </si>
  <si>
    <t>Protokolarne zadeve:</t>
  </si>
  <si>
    <t>Mala šola in cicibanove urice</t>
  </si>
  <si>
    <t>04,04</t>
  </si>
  <si>
    <t>01,04</t>
  </si>
  <si>
    <t>01,05</t>
  </si>
  <si>
    <t>01,06</t>
  </si>
  <si>
    <t>01,07</t>
  </si>
  <si>
    <t>01,08</t>
  </si>
  <si>
    <t>01,10</t>
  </si>
  <si>
    <t>01,12</t>
  </si>
  <si>
    <t>01,13</t>
  </si>
  <si>
    <t>13,10</t>
  </si>
  <si>
    <t>13,11</t>
  </si>
  <si>
    <t>13,12</t>
  </si>
  <si>
    <t>13,17</t>
  </si>
  <si>
    <t>13,24</t>
  </si>
  <si>
    <t>POST.</t>
  </si>
  <si>
    <t>Plačila po pogodbah o delu - Mestni svet</t>
  </si>
  <si>
    <t>06,04</t>
  </si>
  <si>
    <t>Mednarodno sodelovanje in sub. Evropske hiše</t>
  </si>
  <si>
    <t>Akcije v kulturi  - PRILOGA 7</t>
  </si>
  <si>
    <t>Tek. transf.- sred.za blago,stor.-VRTCEV</t>
  </si>
  <si>
    <t>Projekt "E - občina"</t>
  </si>
  <si>
    <t>Cisterna za prevoz pitne vode - PGD Dornberk</t>
  </si>
  <si>
    <t>Svet za preventivo in vzgojo v cestnem prometu</t>
  </si>
  <si>
    <t>Regresiranje socialno šibkih</t>
  </si>
  <si>
    <t>Regresiranje oskrbe v domovih ostarelih</t>
  </si>
  <si>
    <t>Sredstva za vzdrževanje igrišč</t>
  </si>
  <si>
    <t>Doplačilo za otroke v drugih občinah</t>
  </si>
  <si>
    <t>Sofinciranje LJUDSKE UNIVERZE</t>
  </si>
  <si>
    <t>Invest. vzdrževnje in izboljšave - PRILOGA 17</t>
  </si>
  <si>
    <t xml:space="preserve">VSE SKUPAJ   </t>
  </si>
  <si>
    <t xml:space="preserve">SKUPAJ   </t>
  </si>
  <si>
    <t xml:space="preserve"> SKUPAJ   </t>
  </si>
  <si>
    <t>Program zaščite živali, azil za pse</t>
  </si>
  <si>
    <t>Najemnina kinodvorane - KD</t>
  </si>
  <si>
    <t>Prispevki za zdravstveno zavarovanje</t>
  </si>
  <si>
    <t>Prispevki za zaposlovanje</t>
  </si>
  <si>
    <t>Prispevki za porodniško varstvo</t>
  </si>
  <si>
    <t>Plačilo komunalnih storitev (splošna dejavnost)</t>
  </si>
  <si>
    <t>Urejanje stavbnih zemljišč - PRILOGA 15</t>
  </si>
  <si>
    <t>Širitev mreže javne razsvetljave - PRILOGA 16</t>
  </si>
  <si>
    <t>Urejanje mesta - PRILOGA 2</t>
  </si>
  <si>
    <t>Sofinanciranje vzdrževalnih del na gozdnih poteh</t>
  </si>
  <si>
    <t>Sofinanciranje vzdrževanja železniških prehodov</t>
  </si>
  <si>
    <t>Zaščita in urejanje šolskih površin</t>
  </si>
  <si>
    <t>Sredstva za izvajanje programa vinske ceste</t>
  </si>
  <si>
    <t>Subvencije v kmetijstvo - regresiranje</t>
  </si>
  <si>
    <t>Sofinanciranje projektov s področja kmetijstva</t>
  </si>
  <si>
    <t>Sredstva za programe Turistična zveze</t>
  </si>
  <si>
    <t>Sredstva za programe - Turistična društva</t>
  </si>
  <si>
    <t>Ureditev prostorov in stroški delovanja TIC</t>
  </si>
  <si>
    <t xml:space="preserve">Tekoči transferi - sredstva za plače </t>
  </si>
  <si>
    <t>Tekoči transferi - sredstva za prispevke</t>
  </si>
  <si>
    <t>Tekoči transferi - sredstva za blago in storitve</t>
  </si>
  <si>
    <t>Sredstva za opremljanje učilnic 9-letne OŠ</t>
  </si>
  <si>
    <t>Kulturni dom - koncertni abonma</t>
  </si>
  <si>
    <t xml:space="preserve">Tekoči transferi - sredstva za blago in storitve </t>
  </si>
  <si>
    <t>Zveza kulturnih društev</t>
  </si>
  <si>
    <t>Kinomatografija - Program ART - filma</t>
  </si>
  <si>
    <t>Sofinanc. delovanja smučarskih naprav na Lokvah</t>
  </si>
  <si>
    <t>Tekoči transferi - sredstva za plače  CSD NG</t>
  </si>
  <si>
    <t>Tekoči transferi - sredstva za prispevke CSD NG</t>
  </si>
  <si>
    <t>Tekoči transferi -sred. za blago,storit. CSD NG</t>
  </si>
  <si>
    <t>Tekoči transferi - sredstva za plače  CPD NG</t>
  </si>
  <si>
    <t>Tekoči transferi - sredstva za prispevke CPD NG</t>
  </si>
  <si>
    <t>Tekoči transferi -sred. za blago,storit. CPD NG</t>
  </si>
  <si>
    <t>Plačilo zdravstvenih prisp. za nezavarovane osebe</t>
  </si>
  <si>
    <t>Namenska sredstva za najemnino ZD Dornberk</t>
  </si>
  <si>
    <t>Najemnine in zakupnine za dr. objekt.- Mostovna</t>
  </si>
  <si>
    <t>Sredstva za blago, storitve - MLADINSKI CENTER</t>
  </si>
  <si>
    <t>Nakup drugih osnov. sredstev za Mladinski center</t>
  </si>
  <si>
    <t>Prispevek MO za izvajanje programa javnih del</t>
  </si>
  <si>
    <t>Sredstva za programe visokega šolstva</t>
  </si>
  <si>
    <t>Ljubiteljstvo - Zveza kulturnih društev</t>
  </si>
  <si>
    <t>Ljubiteljstvo - Sklad kulturnih dejavnosti</t>
  </si>
  <si>
    <t>Sofinanc.del na sakralnih objek.-Bazilika Sv. Gora</t>
  </si>
  <si>
    <t>10,10</t>
  </si>
  <si>
    <t>Sofinanciranje materinskega doma</t>
  </si>
  <si>
    <t>Sredstva za programe CRPOV (Tabor)</t>
  </si>
  <si>
    <t>01,15</t>
  </si>
  <si>
    <t>Galerija - nakup likovnih del</t>
  </si>
  <si>
    <t>Stanovanjski sklad - sredstva za delovanje</t>
  </si>
  <si>
    <t>Pomoč športnim klubom in društvom za pionirske,</t>
  </si>
  <si>
    <t>kadetske in mladinske selekcije</t>
  </si>
  <si>
    <t>REALIZACIJA</t>
  </si>
  <si>
    <t>08,19</t>
  </si>
  <si>
    <t>Prispevki za pokojnin. in invalid. zavarovanje</t>
  </si>
  <si>
    <t>Energija, voda, komunalne storit. in komunik.</t>
  </si>
  <si>
    <t>PROR.</t>
  </si>
  <si>
    <t>Intervent. posegi na področju komun. in cest. gosp.</t>
  </si>
  <si>
    <t>Odkup gradb.objekt.,prip.d.,dokum. obv.Solkan</t>
  </si>
  <si>
    <t>Sofin. Medobčinskega društva prijateljev mladine</t>
  </si>
  <si>
    <t>Izdel.proj.in izgrad.šport.dvorane osnov.in sred. šol</t>
  </si>
  <si>
    <t>Ured. športnega parka in adaptacija šport. dvorane</t>
  </si>
  <si>
    <t>Sofinanc. nakupa kombija za športno dejavnost</t>
  </si>
  <si>
    <t>Investicije ZD Dornberk</t>
  </si>
  <si>
    <t>Vzdrževanje objektov in opreme Civilne zaščite</t>
  </si>
  <si>
    <t>Usposabljanje,vaje,akcije,zavarovanja,najemnine</t>
  </si>
  <si>
    <t>Tekoči odh. JZ za gasilsko in reševalsko dejavnost</t>
  </si>
  <si>
    <t>Stroški intervencij ob naravnih in drugih nesrečah</t>
  </si>
  <si>
    <t>Sred. za protipožarno dejavnost Gasilskih društev</t>
  </si>
  <si>
    <t>Sof. društev pomembnih za zaščito in reševanje</t>
  </si>
  <si>
    <t>Nakup opreme za civilno zaščito</t>
  </si>
  <si>
    <t>Sredstva iz požarnega sklada</t>
  </si>
  <si>
    <t>Dejavnost Centra za socialno delo</t>
  </si>
  <si>
    <t>Urejanje prostorov in oprema za MOSTOVNO</t>
  </si>
  <si>
    <t>UNICEF - Otrokom prijazno mesto</t>
  </si>
  <si>
    <t>Obveznosti po Zakonu o varstvu pri delu</t>
  </si>
  <si>
    <t>06,16</t>
  </si>
  <si>
    <t>Novoletne obdaritve otrok</t>
  </si>
  <si>
    <t>Nakup specialnega gasil. vozila - PGD Čepovan</t>
  </si>
  <si>
    <t>Sofinanciranje programov tehnološkega parka</t>
  </si>
  <si>
    <t>05,22</t>
  </si>
  <si>
    <t>Finančne subvencije v gospodarstvu</t>
  </si>
  <si>
    <t>13,30</t>
  </si>
  <si>
    <t>Vračilo ekološke takse - Petrol</t>
  </si>
  <si>
    <t>05,24</t>
  </si>
  <si>
    <t>Sklad dela</t>
  </si>
  <si>
    <t>13,31</t>
  </si>
  <si>
    <t>12,07</t>
  </si>
  <si>
    <t>Stroški nakupa stavbe Primexa - davek, odkup</t>
  </si>
  <si>
    <t>Sofin. mlad.programov (KGŠ,Masovna in drugi)</t>
  </si>
  <si>
    <t>Strateški prostorski akti - PRILOGA 18</t>
  </si>
  <si>
    <t>Izvedbeni prostorski akti - PRILOGA 19</t>
  </si>
  <si>
    <t>Prostorski informacijski sistem - PRILOGA 20</t>
  </si>
  <si>
    <t>Okolje - PRILOGA 21</t>
  </si>
  <si>
    <t>Goriška knjižnica</t>
  </si>
  <si>
    <t>Goriški muzej</t>
  </si>
  <si>
    <t>Kulturni dom - galerijska dejavnost</t>
  </si>
  <si>
    <t>Sr.za p.CRPOV(Šempas,Ozeljan,Osek, Vitovlje, Šmihel)</t>
  </si>
  <si>
    <r>
      <t>Trenerji v kl.(</t>
    </r>
    <r>
      <rPr>
        <sz val="9"/>
        <rFont val="Arial CE"/>
        <family val="2"/>
      </rPr>
      <t>KK SE,NK HIT,KK,AK,KK HIT,OK,ŠK,RK</t>
    </r>
    <r>
      <rPr>
        <sz val="10"/>
        <rFont val="Arial CE"/>
        <family val="2"/>
      </rPr>
      <t>)</t>
    </r>
  </si>
  <si>
    <r>
      <t xml:space="preserve">Tekoči transferi - sredstva za plače </t>
    </r>
    <r>
      <rPr>
        <sz val="9"/>
        <rFont val="Arial CE"/>
        <family val="2"/>
      </rPr>
      <t>JZ ZA ŠPORT</t>
    </r>
  </si>
  <si>
    <r>
      <t xml:space="preserve">Tekoči transferi - sredstva za prisp. </t>
    </r>
    <r>
      <rPr>
        <sz val="9"/>
        <rFont val="Arial CE"/>
        <family val="2"/>
      </rPr>
      <t>JZ ZA ŠPORT</t>
    </r>
  </si>
  <si>
    <r>
      <t xml:space="preserve">Tekoči transferi - sred.za blago,stor. </t>
    </r>
    <r>
      <rPr>
        <sz val="9"/>
        <rFont val="Arial CE"/>
        <family val="2"/>
      </rPr>
      <t>JZ ZA ŠPORT</t>
    </r>
  </si>
  <si>
    <t>Sklad za razvoj malega gosp.-sredstva za delovanje</t>
  </si>
  <si>
    <t>Povečanje namenskega premoženja v JS</t>
  </si>
  <si>
    <t>Str. provizij in povračil (UJP, Banka Slovenije, banke)</t>
  </si>
  <si>
    <t xml:space="preserve">Nabava gasilske avto lestve z reševalno košaro </t>
  </si>
  <si>
    <t>Praznovanje ob vstopu Slovenije v Evropsko unijo</t>
  </si>
  <si>
    <t>Kolektivno dodatno pokojninsko zavarovanje</t>
  </si>
  <si>
    <t>Tekoči transferi  - davki</t>
  </si>
  <si>
    <t>Tekoči transferi  - dodatno kolektivno zavarovanje</t>
  </si>
  <si>
    <t>Cenitve, natečaji, stroški postopkov, objave</t>
  </si>
  <si>
    <t>Tekoči transferi - davki</t>
  </si>
  <si>
    <t>Tekoči transferi - dodatno kolektivno zavarovanje</t>
  </si>
  <si>
    <t>Tekoči transferi - sredstva za plače in os.prejemke</t>
  </si>
  <si>
    <t>Transferi za prireditve in proslave v KS</t>
  </si>
  <si>
    <t xml:space="preserve">Obnova vrtca v Šempasu </t>
  </si>
  <si>
    <t>Sofinanciranje adaptacije Samostana Kostanjevica</t>
  </si>
  <si>
    <t xml:space="preserve">Kulturni dom  </t>
  </si>
  <si>
    <t>Subvencije stanarin po stan.zakonu - transfer SS</t>
  </si>
  <si>
    <t>05,25</t>
  </si>
  <si>
    <t>09,23</t>
  </si>
  <si>
    <t>Športna dvorana v Prvačini</t>
  </si>
  <si>
    <t xml:space="preserve">Odpravnine </t>
  </si>
  <si>
    <r>
      <t xml:space="preserve">Priprava razvojnih programov </t>
    </r>
    <r>
      <rPr>
        <sz val="8"/>
        <rFont val="Arial CE"/>
        <family val="2"/>
      </rPr>
      <t xml:space="preserve"> </t>
    </r>
  </si>
  <si>
    <t>Transferi javnim zavodom - otroško varstvo</t>
  </si>
  <si>
    <t>Transferi upravičencem do subvencije OV</t>
  </si>
  <si>
    <t>Izgradnja kajak centra</t>
  </si>
  <si>
    <t>Goriški muzej - delavnice Solkan</t>
  </si>
  <si>
    <t>08,17</t>
  </si>
  <si>
    <t>Ureditev parka ob gradu Kromberk</t>
  </si>
  <si>
    <t>Pokrivanje izgube vrtca Nova Gorica za 2003</t>
  </si>
  <si>
    <t>Dodatno pokojninsko zavarovanje za 2003</t>
  </si>
  <si>
    <t>Poračun za vrtce 2003 (brez NG)</t>
  </si>
  <si>
    <t>Združenje častnikov Slovenije</t>
  </si>
  <si>
    <t>REBALANS 1</t>
  </si>
  <si>
    <t>REBALANS 2</t>
  </si>
  <si>
    <t>REB.2/REB.1</t>
  </si>
  <si>
    <t>REAL/REB.1</t>
  </si>
  <si>
    <t>Povečanje kapitalskih deležev v privatnih podjetjih</t>
  </si>
  <si>
    <t xml:space="preserve"> - proslave, pogostitve, sprejemi</t>
  </si>
  <si>
    <t xml:space="preserve"> - protokol,simboli ,darila in nabave</t>
  </si>
  <si>
    <t xml:space="preserve"> - najemnine</t>
  </si>
  <si>
    <t xml:space="preserve"> - pokroviteljstva in sponzorstva</t>
  </si>
  <si>
    <t xml:space="preserve"> - občinski praznik (prireditve, sprejemi)</t>
  </si>
  <si>
    <t>Nakup gasil.vozila in popravilo lestve - PGD N.Gorica</t>
  </si>
  <si>
    <t>Inv.v posod.cest.omr.in promet.ur.- PRILOGA 1</t>
  </si>
  <si>
    <t>Sof. vzdrževal.del na krajevnih poteh-PRILOGA 13</t>
  </si>
  <si>
    <t>Dokument. za cestno infrastrukt.- PRILOGA 3</t>
  </si>
  <si>
    <t>Dokument. za komunalne naprave - PRILOGA 4</t>
  </si>
  <si>
    <t>Komunal. objekti in razsvetljava v KS-PRILOGA 14</t>
  </si>
  <si>
    <t>Sanacija in izgrad. komunal. objektov - PRILOGA 5</t>
  </si>
  <si>
    <t>Izgrad. komunal. objektov - vodovodi - PRILOGA 6</t>
  </si>
  <si>
    <t>Lastna sredstva za koriščenje EU skladov-PRILOGA 22</t>
  </si>
  <si>
    <t>Subvencije v kmetijstvo-urejanje kmetijskih zemljišč</t>
  </si>
  <si>
    <t>Sofinan. in organizac. prireditev, praznovanj in prvenstev</t>
  </si>
  <si>
    <t>Izdelava promocijskega gradiva in turistična promocija</t>
  </si>
  <si>
    <t>Sofinanc. nakupa prostorov za Primorski tehnološki park</t>
  </si>
  <si>
    <t>Dokumentacija in adaptacija Primorskega tehno. parka</t>
  </si>
  <si>
    <t>Sofinanciranje programov Regijske razvojne agencije</t>
  </si>
  <si>
    <t xml:space="preserve">      - delež za materialne stroške potujoče knjižnice</t>
  </si>
  <si>
    <t xml:space="preserve">      - nakup in oprema bibliobusa  </t>
  </si>
  <si>
    <t xml:space="preserve">SNG (PDG) - investicija v nadoderne vlake </t>
  </si>
  <si>
    <t xml:space="preserve">Investic. vzd. in izboljšave (GK,KD,ZKD,GM,galerija)  </t>
  </si>
  <si>
    <t>Program športa - PRILOGA 8</t>
  </si>
  <si>
    <t>Vzdrževanje športnih površin - PRILOGA 9</t>
  </si>
  <si>
    <t>Sof.spomenika braniteljem zahodne meje-Opatje Selo</t>
  </si>
  <si>
    <t>Nadomestila in prov. (DURS, Komunala, Vodovodi,..)</t>
  </si>
  <si>
    <t>Financiranje delovanja KS - PRILOGA 11</t>
  </si>
  <si>
    <t>Vzdrževanje kulturnih domov v KS -  PRILOGA 12</t>
  </si>
  <si>
    <t>Sodna izvršba - poravnava za obvoznico Šempeter</t>
  </si>
  <si>
    <t>Obvez. iz kupnin od prodanih stan. (SS RS, SOD)</t>
  </si>
  <si>
    <t>Nakup šotora</t>
  </si>
  <si>
    <t>10,11</t>
  </si>
  <si>
    <t>Financiranje družinskega pomočnika</t>
  </si>
  <si>
    <t>12,08</t>
  </si>
  <si>
    <t>Tekoči trans. - sredstva za plače - MC</t>
  </si>
  <si>
    <t>Tekoči trans. - sredstva za prispevke - MC</t>
  </si>
  <si>
    <t>Tekoči trans. - sredstva za blago in storitve - MC</t>
  </si>
  <si>
    <t>06,17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</si>
</sst>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#,##0_ ;\-#,##0\ "/>
    <numFmt numFmtId="168" formatCode="0.000"/>
    <numFmt numFmtId="169" formatCode="0.0"/>
    <numFmt numFmtId="170" formatCode="0.00000"/>
    <numFmt numFmtId="171" formatCode="0.0000"/>
    <numFmt numFmtId="172" formatCode="dd/mm/yyyy"/>
    <numFmt numFmtId="173" formatCode="0.000000"/>
    <numFmt numFmtId="174" formatCode="0.00000000"/>
    <numFmt numFmtId="175" formatCode="0.000000000"/>
    <numFmt numFmtId="176" formatCode="0.0000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3" fontId="0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right"/>
    </xf>
    <xf numFmtId="169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3" fillId="0" borderId="3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left"/>
      <protection/>
    </xf>
    <xf numFmtId="3" fontId="0" fillId="0" borderId="3" xfId="0" applyNumberFormat="1" applyFont="1" applyBorder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3" fillId="0" borderId="3" xfId="0" applyFont="1" applyBorder="1" applyAlignment="1" applyProtection="1">
      <alignment horizontal="left"/>
      <protection/>
    </xf>
    <xf numFmtId="3" fontId="3" fillId="0" borderId="3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3" fontId="0" fillId="0" borderId="3" xfId="0" applyNumberFormat="1" applyFont="1" applyFill="1" applyBorder="1" applyAlignment="1" applyProtection="1">
      <alignment horizontal="right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center"/>
      <protection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1" xfId="0" applyFon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5" xfId="0" applyNumberFormat="1" applyFont="1" applyBorder="1" applyAlignment="1" applyProtection="1">
      <alignment horizontal="right"/>
      <protection/>
    </xf>
    <xf numFmtId="0" fontId="8" fillId="0" borderId="3" xfId="0" applyFont="1" applyBorder="1" applyAlignment="1" quotePrefix="1">
      <alignment horizontal="center"/>
    </xf>
    <xf numFmtId="0" fontId="9" fillId="0" borderId="3" xfId="0" applyFont="1" applyBorder="1" applyAlignment="1" applyProtection="1">
      <alignment horizontal="left"/>
      <protection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5" xfId="0" applyFont="1" applyBorder="1" applyAlignment="1" applyProtection="1">
      <alignment horizontal="left"/>
      <protection/>
    </xf>
    <xf numFmtId="3" fontId="0" fillId="0" borderId="5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0" fontId="3" fillId="0" borderId="5" xfId="0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37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3" fillId="0" borderId="3" xfId="0" applyNumberFormat="1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 quotePrefix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6" fillId="0" borderId="5" xfId="0" applyNumberFormat="1" applyFont="1" applyBorder="1" applyAlignment="1" quotePrefix="1">
      <alignment horizontal="right"/>
    </xf>
    <xf numFmtId="0" fontId="6" fillId="0" borderId="3" xfId="0" applyFont="1" applyBorder="1" applyAlignment="1" quotePrefix="1">
      <alignment horizontal="right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3" fillId="0" borderId="8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right"/>
    </xf>
    <xf numFmtId="3" fontId="0" fillId="0" borderId="9" xfId="0" applyNumberFormat="1" applyFont="1" applyBorder="1" applyAlignment="1" applyProtection="1">
      <alignment horizontal="right"/>
      <protection/>
    </xf>
    <xf numFmtId="3" fontId="9" fillId="0" borderId="5" xfId="0" applyNumberFormat="1" applyFont="1" applyBorder="1" applyAlignment="1" applyProtection="1">
      <alignment horizontal="right"/>
      <protection/>
    </xf>
    <xf numFmtId="3" fontId="3" fillId="0" borderId="8" xfId="0" applyNumberFormat="1" applyFont="1" applyBorder="1" applyAlignment="1" applyProtection="1">
      <alignment horizontal="right"/>
      <protection/>
    </xf>
    <xf numFmtId="165" fontId="0" fillId="0" borderId="10" xfId="0" applyNumberFormat="1" applyFont="1" applyBorder="1" applyAlignment="1">
      <alignment horizontal="right"/>
    </xf>
    <xf numFmtId="172" fontId="3" fillId="0" borderId="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169" fontId="3" fillId="0" borderId="3" xfId="0" applyNumberFormat="1" applyFont="1" applyBorder="1" applyAlignment="1">
      <alignment horizontal="right"/>
    </xf>
    <xf numFmtId="169" fontId="3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pane xSplit="2" ySplit="2" topLeftCell="C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3" sqref="C3"/>
    </sheetView>
  </sheetViews>
  <sheetFormatPr defaultColWidth="9.00390625" defaultRowHeight="15" customHeight="1"/>
  <cols>
    <col min="1" max="1" width="7.375" style="102" customWidth="1"/>
    <col min="2" max="2" width="39.00390625" style="18" customWidth="1"/>
    <col min="3" max="4" width="12.875" style="20" bestFit="1" customWidth="1"/>
    <col min="5" max="5" width="12.875" style="20" customWidth="1"/>
    <col min="6" max="6" width="8.875" style="86" bestFit="1" customWidth="1"/>
    <col min="7" max="7" width="9.125" style="86" bestFit="1" customWidth="1"/>
    <col min="8" max="8" width="11.125" style="2" bestFit="1" customWidth="1"/>
    <col min="9" max="9" width="19.25390625" style="2" customWidth="1"/>
    <col min="10" max="16384" width="9.125" style="2" customWidth="1"/>
  </cols>
  <sheetData>
    <row r="1" spans="1:7" s="98" customFormat="1" ht="18" customHeight="1">
      <c r="A1" s="22" t="s">
        <v>29</v>
      </c>
      <c r="B1" s="23" t="s">
        <v>45</v>
      </c>
      <c r="C1" s="1" t="s">
        <v>325</v>
      </c>
      <c r="D1" s="111" t="s">
        <v>243</v>
      </c>
      <c r="E1" s="1" t="s">
        <v>326</v>
      </c>
      <c r="F1" s="121" t="s">
        <v>48</v>
      </c>
      <c r="G1" s="121" t="s">
        <v>48</v>
      </c>
    </row>
    <row r="2" spans="1:7" s="98" customFormat="1" ht="18" customHeight="1" thickBot="1">
      <c r="A2" s="24" t="s">
        <v>174</v>
      </c>
      <c r="B2" s="5"/>
      <c r="C2" s="28">
        <v>2004</v>
      </c>
      <c r="D2" s="109">
        <v>38245</v>
      </c>
      <c r="E2" s="28">
        <v>2004</v>
      </c>
      <c r="F2" s="6" t="s">
        <v>327</v>
      </c>
      <c r="G2" s="6" t="s">
        <v>328</v>
      </c>
    </row>
    <row r="3" spans="1:9" s="99" customFormat="1" ht="18" customHeight="1">
      <c r="A3" s="7" t="s">
        <v>47</v>
      </c>
      <c r="B3" s="11" t="s">
        <v>0</v>
      </c>
      <c r="C3" s="69">
        <v>378465869</v>
      </c>
      <c r="D3" s="69">
        <v>266565483</v>
      </c>
      <c r="E3" s="69">
        <v>373645869</v>
      </c>
      <c r="F3" s="14">
        <f>IF(C3=0,"-",$E3/C3*100)</f>
        <v>98.72643733694252</v>
      </c>
      <c r="G3" s="14">
        <f>IF(C3=0,"-",$D3/C3*100)</f>
        <v>70.43316315532802</v>
      </c>
      <c r="H3" s="101">
        <f>SUM(D3:D13)</f>
        <v>355626047</v>
      </c>
      <c r="I3" s="100"/>
    </row>
    <row r="4" spans="1:7" s="99" customFormat="1" ht="18" customHeight="1">
      <c r="A4" s="7" t="s">
        <v>47</v>
      </c>
      <c r="B4" s="11" t="s">
        <v>1</v>
      </c>
      <c r="C4" s="69">
        <v>11936800</v>
      </c>
      <c r="D4" s="69">
        <v>11728600</v>
      </c>
      <c r="E4" s="69">
        <v>11936800</v>
      </c>
      <c r="F4" s="14">
        <f aca="true" t="shared" si="0" ref="F4:F26">IF(C4=0,"-",$E4/C4*100)</f>
        <v>100</v>
      </c>
      <c r="G4" s="14">
        <f aca="true" t="shared" si="1" ref="G4:G26">IF(C4=0,"-",$D4/C4*100)</f>
        <v>98.25581395348837</v>
      </c>
    </row>
    <row r="5" spans="1:8" s="99" customFormat="1" ht="18" customHeight="1">
      <c r="A5" s="7" t="s">
        <v>47</v>
      </c>
      <c r="B5" s="11" t="s">
        <v>2</v>
      </c>
      <c r="C5" s="69">
        <v>28219000</v>
      </c>
      <c r="D5" s="69">
        <v>16638715</v>
      </c>
      <c r="E5" s="69">
        <v>28219000</v>
      </c>
      <c r="F5" s="14">
        <f t="shared" si="0"/>
        <v>100</v>
      </c>
      <c r="G5" s="14">
        <f t="shared" si="1"/>
        <v>58.96280874588044</v>
      </c>
      <c r="H5" s="101"/>
    </row>
    <row r="6" spans="1:8" s="99" customFormat="1" ht="18" customHeight="1">
      <c r="A6" s="7" t="s">
        <v>47</v>
      </c>
      <c r="B6" s="11" t="s">
        <v>3</v>
      </c>
      <c r="C6" s="69">
        <v>14000000</v>
      </c>
      <c r="D6" s="69">
        <v>9842736</v>
      </c>
      <c r="E6" s="69">
        <v>14000000</v>
      </c>
      <c r="F6" s="14">
        <f t="shared" si="0"/>
        <v>100</v>
      </c>
      <c r="G6" s="14">
        <f t="shared" si="1"/>
        <v>70.30525714285714</v>
      </c>
      <c r="H6" s="101"/>
    </row>
    <row r="7" spans="1:7" s="99" customFormat="1" ht="18" customHeight="1">
      <c r="A7" s="7" t="s">
        <v>47</v>
      </c>
      <c r="B7" s="11" t="s">
        <v>4</v>
      </c>
      <c r="C7" s="69">
        <v>2200000</v>
      </c>
      <c r="D7" s="69">
        <v>418164</v>
      </c>
      <c r="E7" s="69">
        <v>2200000</v>
      </c>
      <c r="F7" s="14">
        <f t="shared" si="0"/>
        <v>100</v>
      </c>
      <c r="G7" s="14">
        <f t="shared" si="1"/>
        <v>19.007454545454546</v>
      </c>
    </row>
    <row r="8" spans="1:8" s="99" customFormat="1" ht="18" customHeight="1">
      <c r="A8" s="7" t="s">
        <v>47</v>
      </c>
      <c r="B8" s="11" t="s">
        <v>5</v>
      </c>
      <c r="C8" s="69">
        <v>1904000</v>
      </c>
      <c r="D8" s="69">
        <v>433273</v>
      </c>
      <c r="E8" s="69">
        <v>1904000</v>
      </c>
      <c r="F8" s="14">
        <f t="shared" si="0"/>
        <v>100</v>
      </c>
      <c r="G8" s="14">
        <f t="shared" si="1"/>
        <v>22.755934873949577</v>
      </c>
      <c r="H8" s="101"/>
    </row>
    <row r="9" spans="1:8" s="99" customFormat="1" ht="18" customHeight="1">
      <c r="A9" s="7" t="s">
        <v>47</v>
      </c>
      <c r="B9" s="11" t="s">
        <v>245</v>
      </c>
      <c r="C9" s="69">
        <v>35000000</v>
      </c>
      <c r="D9" s="69">
        <v>23832308</v>
      </c>
      <c r="E9" s="69">
        <v>35000000</v>
      </c>
      <c r="F9" s="14">
        <f t="shared" si="0"/>
        <v>100</v>
      </c>
      <c r="G9" s="14">
        <f t="shared" si="1"/>
        <v>68.09230857142857</v>
      </c>
      <c r="H9" s="101"/>
    </row>
    <row r="10" spans="1:8" s="99" customFormat="1" ht="18" customHeight="1">
      <c r="A10" s="7" t="s">
        <v>47</v>
      </c>
      <c r="B10" s="11" t="s">
        <v>298</v>
      </c>
      <c r="C10" s="69">
        <v>7140000</v>
      </c>
      <c r="D10" s="69">
        <v>5377254</v>
      </c>
      <c r="E10" s="69">
        <v>7140000</v>
      </c>
      <c r="F10" s="14">
        <f t="shared" si="0"/>
        <v>100</v>
      </c>
      <c r="G10" s="14">
        <f t="shared" si="1"/>
        <v>75.3116806722689</v>
      </c>
      <c r="H10" s="101"/>
    </row>
    <row r="11" spans="1:7" s="99" customFormat="1" ht="18" customHeight="1">
      <c r="A11" s="7" t="s">
        <v>47</v>
      </c>
      <c r="B11" s="11" t="s">
        <v>194</v>
      </c>
      <c r="C11" s="69">
        <v>29200000</v>
      </c>
      <c r="D11" s="69">
        <v>20346065</v>
      </c>
      <c r="E11" s="69">
        <v>29200000</v>
      </c>
      <c r="F11" s="14">
        <f t="shared" si="0"/>
        <v>100</v>
      </c>
      <c r="G11" s="14">
        <f t="shared" si="1"/>
        <v>69.67830479452056</v>
      </c>
    </row>
    <row r="12" spans="1:7" s="99" customFormat="1" ht="18" customHeight="1">
      <c r="A12" s="7" t="s">
        <v>47</v>
      </c>
      <c r="B12" s="11" t="s">
        <v>195</v>
      </c>
      <c r="C12" s="69">
        <v>280000</v>
      </c>
      <c r="D12" s="69">
        <v>166293</v>
      </c>
      <c r="E12" s="69">
        <v>280000</v>
      </c>
      <c r="F12" s="14">
        <f t="shared" si="0"/>
        <v>100</v>
      </c>
      <c r="G12" s="14">
        <f t="shared" si="1"/>
        <v>59.39035714285714</v>
      </c>
    </row>
    <row r="13" spans="1:8" s="99" customFormat="1" ht="18" customHeight="1">
      <c r="A13" s="7" t="s">
        <v>47</v>
      </c>
      <c r="B13" s="11" t="s">
        <v>196</v>
      </c>
      <c r="C13" s="69">
        <v>400000</v>
      </c>
      <c r="D13" s="69">
        <v>277156</v>
      </c>
      <c r="E13" s="69">
        <v>400000</v>
      </c>
      <c r="F13" s="14">
        <f t="shared" si="0"/>
        <v>100</v>
      </c>
      <c r="G13" s="14">
        <f t="shared" si="1"/>
        <v>69.289</v>
      </c>
      <c r="H13" s="101"/>
    </row>
    <row r="14" spans="1:7" s="99" customFormat="1" ht="18" customHeight="1">
      <c r="A14" s="7" t="s">
        <v>57</v>
      </c>
      <c r="B14" s="11" t="s">
        <v>6</v>
      </c>
      <c r="C14" s="69">
        <v>67543017</v>
      </c>
      <c r="D14" s="69">
        <v>48752372</v>
      </c>
      <c r="E14" s="69">
        <v>69043017</v>
      </c>
      <c r="F14" s="14">
        <f t="shared" si="0"/>
        <v>102.2208069266435</v>
      </c>
      <c r="G14" s="14">
        <f t="shared" si="1"/>
        <v>72.1797369519339</v>
      </c>
    </row>
    <row r="15" spans="1:8" s="99" customFormat="1" ht="18" customHeight="1">
      <c r="A15" s="7" t="s">
        <v>46</v>
      </c>
      <c r="B15" s="11" t="s">
        <v>7</v>
      </c>
      <c r="C15" s="69">
        <v>3884701</v>
      </c>
      <c r="D15" s="69">
        <v>3091049</v>
      </c>
      <c r="E15" s="69">
        <v>5384701</v>
      </c>
      <c r="F15" s="14">
        <f t="shared" si="0"/>
        <v>138.61301037068233</v>
      </c>
      <c r="G15" s="14">
        <f t="shared" si="1"/>
        <v>79.56980472885814</v>
      </c>
      <c r="H15" s="101"/>
    </row>
    <row r="16" spans="1:7" s="99" customFormat="1" ht="18" customHeight="1">
      <c r="A16" s="7" t="s">
        <v>161</v>
      </c>
      <c r="B16" s="11" t="s">
        <v>246</v>
      </c>
      <c r="C16" s="69">
        <v>56018902</v>
      </c>
      <c r="D16" s="69">
        <v>44466801</v>
      </c>
      <c r="E16" s="69">
        <v>60018902</v>
      </c>
      <c r="F16" s="14">
        <f t="shared" si="0"/>
        <v>107.14044698698306</v>
      </c>
      <c r="G16" s="14">
        <f t="shared" si="1"/>
        <v>79.37820880530646</v>
      </c>
    </row>
    <row r="17" spans="1:7" s="99" customFormat="1" ht="18" customHeight="1">
      <c r="A17" s="7" t="s">
        <v>162</v>
      </c>
      <c r="B17" s="11" t="s">
        <v>8</v>
      </c>
      <c r="C17" s="69">
        <v>10945212</v>
      </c>
      <c r="D17" s="69">
        <v>6399216</v>
      </c>
      <c r="E17" s="69">
        <v>10945212</v>
      </c>
      <c r="F17" s="14">
        <f t="shared" si="0"/>
        <v>100</v>
      </c>
      <c r="G17" s="14">
        <f t="shared" si="1"/>
        <v>58.46589357976802</v>
      </c>
    </row>
    <row r="18" spans="1:7" s="99" customFormat="1" ht="18" customHeight="1">
      <c r="A18" s="7" t="s">
        <v>163</v>
      </c>
      <c r="B18" s="11" t="s">
        <v>9</v>
      </c>
      <c r="C18" s="69">
        <v>3151392</v>
      </c>
      <c r="D18" s="69">
        <v>2251899</v>
      </c>
      <c r="E18" s="69">
        <v>3151392</v>
      </c>
      <c r="F18" s="14">
        <f t="shared" si="0"/>
        <v>100</v>
      </c>
      <c r="G18" s="14">
        <f t="shared" si="1"/>
        <v>71.45727983062723</v>
      </c>
    </row>
    <row r="19" spans="1:7" s="99" customFormat="1" ht="18" customHeight="1">
      <c r="A19" s="7" t="s">
        <v>164</v>
      </c>
      <c r="B19" s="11" t="s">
        <v>10</v>
      </c>
      <c r="C19" s="69">
        <v>21662668</v>
      </c>
      <c r="D19" s="69">
        <v>14376688</v>
      </c>
      <c r="E19" s="69">
        <v>21862668</v>
      </c>
      <c r="F19" s="14">
        <f t="shared" si="0"/>
        <v>100.92324731191928</v>
      </c>
      <c r="G19" s="14">
        <f t="shared" si="1"/>
        <v>66.3661927515115</v>
      </c>
    </row>
    <row r="20" spans="1:7" s="99" customFormat="1" ht="18" customHeight="1">
      <c r="A20" s="7" t="s">
        <v>165</v>
      </c>
      <c r="B20" s="11" t="s">
        <v>11</v>
      </c>
      <c r="C20" s="69">
        <v>3466439</v>
      </c>
      <c r="D20" s="69">
        <v>2246468</v>
      </c>
      <c r="E20" s="69">
        <v>3466439</v>
      </c>
      <c r="F20" s="14">
        <f t="shared" si="0"/>
        <v>100</v>
      </c>
      <c r="G20" s="14">
        <f t="shared" si="1"/>
        <v>64.80621756217259</v>
      </c>
    </row>
    <row r="21" spans="1:7" s="99" customFormat="1" ht="18" customHeight="1">
      <c r="A21" s="7" t="s">
        <v>166</v>
      </c>
      <c r="B21" s="11" t="s">
        <v>12</v>
      </c>
      <c r="C21" s="69">
        <v>64850000</v>
      </c>
      <c r="D21" s="69">
        <v>28588055</v>
      </c>
      <c r="E21" s="69">
        <v>64170000</v>
      </c>
      <c r="F21" s="14">
        <f t="shared" si="0"/>
        <v>98.9514263685428</v>
      </c>
      <c r="G21" s="14">
        <f t="shared" si="1"/>
        <v>44.083353893600616</v>
      </c>
    </row>
    <row r="22" spans="1:7" s="99" customFormat="1" ht="18" customHeight="1">
      <c r="A22" s="7" t="s">
        <v>167</v>
      </c>
      <c r="B22" s="11" t="s">
        <v>13</v>
      </c>
      <c r="C22" s="69">
        <v>12300000</v>
      </c>
      <c r="D22" s="69">
        <v>8769205</v>
      </c>
      <c r="E22" s="69">
        <v>10600000</v>
      </c>
      <c r="F22" s="14">
        <f t="shared" si="0"/>
        <v>86.1788617886179</v>
      </c>
      <c r="G22" s="14">
        <f t="shared" si="1"/>
        <v>71.29434959349594</v>
      </c>
    </row>
    <row r="23" spans="1:7" s="99" customFormat="1" ht="18" customHeight="1">
      <c r="A23" s="7" t="s">
        <v>168</v>
      </c>
      <c r="B23" s="11" t="s">
        <v>14</v>
      </c>
      <c r="C23" s="69">
        <v>9500000</v>
      </c>
      <c r="D23" s="69">
        <v>1111383</v>
      </c>
      <c r="E23" s="69">
        <v>9500000</v>
      </c>
      <c r="F23" s="14">
        <f t="shared" si="0"/>
        <v>100</v>
      </c>
      <c r="G23" s="14">
        <f t="shared" si="1"/>
        <v>11.698768421052632</v>
      </c>
    </row>
    <row r="24" spans="1:7" s="99" customFormat="1" ht="18" customHeight="1">
      <c r="A24" s="7" t="s">
        <v>238</v>
      </c>
      <c r="B24" s="11" t="s">
        <v>266</v>
      </c>
      <c r="C24" s="69">
        <v>300000</v>
      </c>
      <c r="D24" s="69">
        <v>123960</v>
      </c>
      <c r="E24" s="69">
        <v>300000</v>
      </c>
      <c r="F24" s="14">
        <f t="shared" si="0"/>
        <v>100</v>
      </c>
      <c r="G24" s="14">
        <f t="shared" si="1"/>
        <v>41.32</v>
      </c>
    </row>
    <row r="25" spans="1:7" s="99" customFormat="1" ht="18" customHeight="1">
      <c r="A25" s="7"/>
      <c r="B25" s="11"/>
      <c r="C25" s="69"/>
      <c r="D25" s="69"/>
      <c r="E25" s="69"/>
      <c r="F25" s="14"/>
      <c r="G25" s="14"/>
    </row>
    <row r="26" spans="1:7" s="98" customFormat="1" ht="18" customHeight="1" thickBot="1">
      <c r="A26" s="4"/>
      <c r="B26" s="29" t="s">
        <v>189</v>
      </c>
      <c r="C26" s="30">
        <f>SUM(C3:C25)</f>
        <v>762368000</v>
      </c>
      <c r="D26" s="30">
        <f>SUM(D3:D25)</f>
        <v>515803143</v>
      </c>
      <c r="E26" s="30">
        <f>SUM(E3:E25)</f>
        <v>762368000</v>
      </c>
      <c r="F26" s="31">
        <f t="shared" si="0"/>
        <v>100</v>
      </c>
      <c r="G26" s="31">
        <f t="shared" si="1"/>
        <v>67.6580264386753</v>
      </c>
    </row>
    <row r="27" spans="3:5" ht="18" customHeight="1">
      <c r="C27" s="19"/>
      <c r="D27" s="19"/>
      <c r="E27" s="19"/>
    </row>
    <row r="28" spans="2:5" ht="15" customHeight="1">
      <c r="B28" s="103"/>
      <c r="C28" s="19"/>
      <c r="D28" s="19"/>
      <c r="E28" s="19"/>
    </row>
    <row r="30" spans="3:5" ht="15" customHeight="1">
      <c r="C30" s="19"/>
      <c r="D30" s="19"/>
      <c r="E30" s="19"/>
    </row>
  </sheetData>
  <printOptions/>
  <pageMargins left="0.41" right="0.17" top="1.17" bottom="0.89" header="0.38" footer="0.5511811023622047"/>
  <pageSetup firstPageNumber="12" useFirstPageNumber="1" horizontalDpi="360" verticalDpi="360" orientation="portrait" paperSize="9" scale="95" r:id="rId1"/>
  <headerFooter alignWithMargins="0">
    <oddHeader>&amp;L&amp;"Arial CE,Krepko"&amp;11PREGLED NALOG ZA PODROČJE:
&amp;C&amp;11
&amp;"Arial CE,Krepko"&amp;14&amp;A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pane xSplit="2" ySplit="2" topLeftCell="C15" activePane="bottomRight" state="frozen"/>
      <selection pane="topLeft" activeCell="F1" sqref="F1:G2"/>
      <selection pane="topRight" activeCell="F1" sqref="F1:G2"/>
      <selection pane="bottomLeft" activeCell="F1" sqref="F1:G2"/>
      <selection pane="bottomRight" activeCell="D19" sqref="D19"/>
    </sheetView>
  </sheetViews>
  <sheetFormatPr defaultColWidth="11.00390625" defaultRowHeight="18" customHeight="1"/>
  <cols>
    <col min="1" max="1" width="7.25390625" style="16" customWidth="1"/>
    <col min="2" max="2" width="41.125" style="18" customWidth="1"/>
    <col min="3" max="3" width="12.875" style="20" customWidth="1"/>
    <col min="4" max="4" width="12.875" style="20" bestFit="1" customWidth="1"/>
    <col min="5" max="5" width="12.875" style="20" customWidth="1"/>
    <col min="6" max="6" width="8.875" style="20" bestFit="1" customWidth="1"/>
    <col min="7" max="7" width="9.625" style="20" bestFit="1" customWidth="1"/>
    <col min="8" max="16384" width="11.00390625" style="17" customWidth="1"/>
  </cols>
  <sheetData>
    <row r="1" spans="1:7" s="39" customFormat="1" ht="18" customHeight="1">
      <c r="A1" s="22" t="s">
        <v>29</v>
      </c>
      <c r="B1" s="23" t="s">
        <v>45</v>
      </c>
      <c r="C1" s="1" t="s">
        <v>325</v>
      </c>
      <c r="D1" s="111" t="s">
        <v>243</v>
      </c>
      <c r="E1" s="1" t="s">
        <v>326</v>
      </c>
      <c r="F1" s="121" t="s">
        <v>48</v>
      </c>
      <c r="G1" s="121" t="s">
        <v>48</v>
      </c>
    </row>
    <row r="2" spans="1:7" s="39" customFormat="1" ht="18" customHeight="1" thickBot="1">
      <c r="A2" s="24" t="s">
        <v>174</v>
      </c>
      <c r="B2" s="25"/>
      <c r="C2" s="28">
        <v>2004</v>
      </c>
      <c r="D2" s="109">
        <v>38245</v>
      </c>
      <c r="E2" s="28">
        <v>2004</v>
      </c>
      <c r="F2" s="6" t="s">
        <v>327</v>
      </c>
      <c r="G2" s="6" t="s">
        <v>328</v>
      </c>
    </row>
    <row r="3" spans="1:7" ht="18" customHeight="1">
      <c r="A3" s="34">
        <v>10.01</v>
      </c>
      <c r="B3" s="35" t="s">
        <v>30</v>
      </c>
      <c r="C3" s="36">
        <v>1366000</v>
      </c>
      <c r="D3" s="36">
        <v>543236</v>
      </c>
      <c r="E3" s="36">
        <v>1366000</v>
      </c>
      <c r="F3" s="14">
        <f>IF(C3=0,"-",$E3/C3*100)</f>
        <v>100</v>
      </c>
      <c r="G3" s="14">
        <f>IF(C3=0,"-",$D3/C3*100)</f>
        <v>39.76837481698389</v>
      </c>
    </row>
    <row r="4" spans="1:7" ht="18" customHeight="1">
      <c r="A4" s="9">
        <v>10.02</v>
      </c>
      <c r="B4" s="35" t="s">
        <v>183</v>
      </c>
      <c r="C4" s="36">
        <v>7500000</v>
      </c>
      <c r="D4" s="36">
        <v>5547842</v>
      </c>
      <c r="E4" s="36">
        <f>7500000+1000000</f>
        <v>8500000</v>
      </c>
      <c r="F4" s="14">
        <f aca="true" t="shared" si="0" ref="F4:F20">IF(C4=0,"-",$E4/C4*100)</f>
        <v>113.33333333333333</v>
      </c>
      <c r="G4" s="14">
        <f aca="true" t="shared" si="1" ref="G4:G20">IF(C4=0,"-",$D4/C4*100)</f>
        <v>73.97122666666667</v>
      </c>
    </row>
    <row r="5" spans="1:7" ht="18" customHeight="1">
      <c r="A5" s="9">
        <v>10.03</v>
      </c>
      <c r="B5" s="35" t="s">
        <v>36</v>
      </c>
      <c r="C5" s="36">
        <v>1900000</v>
      </c>
      <c r="D5" s="36">
        <v>1487360</v>
      </c>
      <c r="E5" s="36">
        <v>1900000</v>
      </c>
      <c r="F5" s="14">
        <f t="shared" si="0"/>
        <v>100</v>
      </c>
      <c r="G5" s="14">
        <f t="shared" si="1"/>
        <v>78.2821052631579</v>
      </c>
    </row>
    <row r="6" spans="1:7" ht="18" customHeight="1">
      <c r="A6" s="9">
        <v>10.04</v>
      </c>
      <c r="B6" s="35" t="s">
        <v>184</v>
      </c>
      <c r="C6" s="36">
        <v>68000000</v>
      </c>
      <c r="D6" s="36">
        <v>46714874</v>
      </c>
      <c r="E6" s="36">
        <v>68000000</v>
      </c>
      <c r="F6" s="14">
        <f t="shared" si="0"/>
        <v>100</v>
      </c>
      <c r="G6" s="14">
        <f t="shared" si="1"/>
        <v>68.69834411764705</v>
      </c>
    </row>
    <row r="7" spans="1:7" ht="18" customHeight="1">
      <c r="A7" s="9">
        <v>10.05</v>
      </c>
      <c r="B7" s="35" t="s">
        <v>37</v>
      </c>
      <c r="C7" s="36">
        <f>14300000</f>
        <v>14300000</v>
      </c>
      <c r="D7" s="36">
        <v>7142000</v>
      </c>
      <c r="E7" s="36">
        <f>14300000</f>
        <v>14300000</v>
      </c>
      <c r="F7" s="14">
        <f t="shared" si="0"/>
        <v>100</v>
      </c>
      <c r="G7" s="14">
        <f t="shared" si="1"/>
        <v>49.94405594405594</v>
      </c>
    </row>
    <row r="8" spans="1:7" ht="18" customHeight="1">
      <c r="A8" s="9">
        <v>10.06</v>
      </c>
      <c r="B8" s="35" t="s">
        <v>38</v>
      </c>
      <c r="C8" s="36">
        <v>10000000</v>
      </c>
      <c r="D8" s="36">
        <v>4969588</v>
      </c>
      <c r="E8" s="36">
        <v>10000000</v>
      </c>
      <c r="F8" s="14">
        <f t="shared" si="0"/>
        <v>100</v>
      </c>
      <c r="G8" s="14">
        <f t="shared" si="1"/>
        <v>49.695879999999995</v>
      </c>
    </row>
    <row r="9" spans="1:8" ht="18" customHeight="1">
      <c r="A9" s="9"/>
      <c r="B9" s="40" t="s">
        <v>263</v>
      </c>
      <c r="C9" s="41">
        <f>SUM(C10:C12)</f>
        <v>7468000</v>
      </c>
      <c r="D9" s="41">
        <f>SUM(D10:D12)</f>
        <v>7674234</v>
      </c>
      <c r="E9" s="41">
        <f>SUM(E10:E12)</f>
        <v>9049030</v>
      </c>
      <c r="F9" s="10">
        <f t="shared" si="0"/>
        <v>121.17072844134975</v>
      </c>
      <c r="G9" s="10">
        <f t="shared" si="1"/>
        <v>102.76156936261383</v>
      </c>
      <c r="H9" s="26">
        <f>+D9+D13</f>
        <v>34226835</v>
      </c>
    </row>
    <row r="10" spans="1:7" ht="18" customHeight="1">
      <c r="A10" s="9">
        <v>10.07</v>
      </c>
      <c r="B10" s="35" t="s">
        <v>219</v>
      </c>
      <c r="C10" s="36">
        <f>8326000/2</f>
        <v>4163000</v>
      </c>
      <c r="D10" s="36">
        <v>4141553</v>
      </c>
      <c r="E10" s="36">
        <v>5235000</v>
      </c>
      <c r="F10" s="14">
        <f t="shared" si="0"/>
        <v>125.75066058131155</v>
      </c>
      <c r="G10" s="14">
        <f t="shared" si="1"/>
        <v>99.48481864040356</v>
      </c>
    </row>
    <row r="11" spans="1:8" ht="18" customHeight="1">
      <c r="A11" s="9">
        <v>10.07</v>
      </c>
      <c r="B11" s="35" t="s">
        <v>220</v>
      </c>
      <c r="C11" s="36">
        <f>1554000/2</f>
        <v>777000</v>
      </c>
      <c r="D11" s="36">
        <v>617334</v>
      </c>
      <c r="E11" s="36">
        <v>712000</v>
      </c>
      <c r="F11" s="14">
        <f t="shared" si="0"/>
        <v>91.63449163449164</v>
      </c>
      <c r="G11" s="14">
        <f t="shared" si="1"/>
        <v>79.45096525096525</v>
      </c>
      <c r="H11" s="26"/>
    </row>
    <row r="12" spans="1:7" ht="18" customHeight="1">
      <c r="A12" s="9">
        <v>10.07</v>
      </c>
      <c r="B12" s="35" t="s">
        <v>221</v>
      </c>
      <c r="C12" s="36">
        <f>5040000/2+8000</f>
        <v>2528000</v>
      </c>
      <c r="D12" s="36">
        <v>2915347</v>
      </c>
      <c r="E12" s="36">
        <v>3102030</v>
      </c>
      <c r="F12" s="14">
        <f t="shared" si="0"/>
        <v>122.7068829113924</v>
      </c>
      <c r="G12" s="14">
        <f t="shared" si="1"/>
        <v>115.32227056962026</v>
      </c>
    </row>
    <row r="13" spans="1:7" s="42" customFormat="1" ht="18" customHeight="1">
      <c r="A13" s="9"/>
      <c r="B13" s="40" t="s">
        <v>157</v>
      </c>
      <c r="C13" s="41">
        <f>SUM(C14:C16)</f>
        <v>39954000</v>
      </c>
      <c r="D13" s="41">
        <f>SUM(D14:D16)</f>
        <v>26552601</v>
      </c>
      <c r="E13" s="41">
        <f>SUM(E14:E16)</f>
        <v>36200000</v>
      </c>
      <c r="F13" s="10">
        <f t="shared" si="0"/>
        <v>90.60419482404765</v>
      </c>
      <c r="G13" s="10">
        <f t="shared" si="1"/>
        <v>66.45792911848626</v>
      </c>
    </row>
    <row r="14" spans="1:7" ht="18" customHeight="1">
      <c r="A14" s="9">
        <v>10.07</v>
      </c>
      <c r="B14" s="35" t="s">
        <v>222</v>
      </c>
      <c r="C14" s="36">
        <f>26124000+1300000</f>
        <v>27424000</v>
      </c>
      <c r="D14" s="36">
        <v>17105383</v>
      </c>
      <c r="E14" s="36">
        <v>24440000</v>
      </c>
      <c r="F14" s="14">
        <f t="shared" si="0"/>
        <v>89.11901983663944</v>
      </c>
      <c r="G14" s="14">
        <f t="shared" si="1"/>
        <v>62.37377114935823</v>
      </c>
    </row>
    <row r="15" spans="1:7" ht="18" customHeight="1">
      <c r="A15" s="9">
        <v>10.07</v>
      </c>
      <c r="B15" s="35" t="s">
        <v>223</v>
      </c>
      <c r="C15" s="36">
        <f>4821000+200000</f>
        <v>5021000</v>
      </c>
      <c r="D15" s="36">
        <v>2841394</v>
      </c>
      <c r="E15" s="36">
        <v>3220000</v>
      </c>
      <c r="F15" s="14">
        <f t="shared" si="0"/>
        <v>64.13065126468831</v>
      </c>
      <c r="G15" s="14">
        <f t="shared" si="1"/>
        <v>56.59020115514838</v>
      </c>
    </row>
    <row r="16" spans="1:8" ht="18" customHeight="1">
      <c r="A16" s="9">
        <v>10.07</v>
      </c>
      <c r="B16" s="35" t="s">
        <v>224</v>
      </c>
      <c r="C16" s="43">
        <f>7232000+277000</f>
        <v>7509000</v>
      </c>
      <c r="D16" s="43">
        <v>6605824</v>
      </c>
      <c r="E16" s="43">
        <v>8540000</v>
      </c>
      <c r="F16" s="14">
        <f t="shared" si="0"/>
        <v>113.7301904381409</v>
      </c>
      <c r="G16" s="14">
        <f t="shared" si="1"/>
        <v>87.97208682913836</v>
      </c>
      <c r="H16" s="26"/>
    </row>
    <row r="17" spans="1:7" ht="18" customHeight="1">
      <c r="A17" s="44" t="s">
        <v>235</v>
      </c>
      <c r="B17" s="35" t="s">
        <v>236</v>
      </c>
      <c r="C17" s="36">
        <v>2100000</v>
      </c>
      <c r="D17" s="36">
        <v>1050000</v>
      </c>
      <c r="E17" s="36">
        <v>2100000</v>
      </c>
      <c r="F17" s="14">
        <f t="shared" si="0"/>
        <v>100</v>
      </c>
      <c r="G17" s="14">
        <f t="shared" si="1"/>
        <v>50</v>
      </c>
    </row>
    <row r="18" spans="1:7" ht="18" customHeight="1">
      <c r="A18" s="44" t="s">
        <v>363</v>
      </c>
      <c r="B18" s="35" t="s">
        <v>364</v>
      </c>
      <c r="C18" s="36">
        <v>0</v>
      </c>
      <c r="D18" s="36">
        <v>0</v>
      </c>
      <c r="E18" s="36">
        <v>2000000</v>
      </c>
      <c r="F18" s="14" t="str">
        <f t="shared" si="0"/>
        <v>-</v>
      </c>
      <c r="G18" s="14" t="str">
        <f t="shared" si="1"/>
        <v>-</v>
      </c>
    </row>
    <row r="19" spans="1:7" ht="18" customHeight="1">
      <c r="A19" s="44"/>
      <c r="B19" s="35"/>
      <c r="C19" s="36"/>
      <c r="D19" s="36"/>
      <c r="E19" s="36"/>
      <c r="F19" s="14"/>
      <c r="G19" s="14"/>
    </row>
    <row r="20" spans="1:7" ht="18" customHeight="1" thickBot="1">
      <c r="A20" s="28"/>
      <c r="B20" s="29" t="s">
        <v>189</v>
      </c>
      <c r="C20" s="37">
        <f>SUM(C3:C19)-C13-C9</f>
        <v>152588000</v>
      </c>
      <c r="D20" s="37">
        <f>SUM(D3:D19)-D13-D9</f>
        <v>101681735</v>
      </c>
      <c r="E20" s="37">
        <f>SUM(E3:E19)-E13-E9</f>
        <v>153415030</v>
      </c>
      <c r="F20" s="31">
        <f t="shared" si="0"/>
        <v>100.54200199229297</v>
      </c>
      <c r="G20" s="31">
        <f t="shared" si="1"/>
        <v>66.63809408341416</v>
      </c>
    </row>
    <row r="21" ht="18" customHeight="1">
      <c r="A21" s="38" t="s">
        <v>24</v>
      </c>
    </row>
    <row r="22" spans="3:5" ht="18" customHeight="1">
      <c r="C22" s="19"/>
      <c r="D22" s="19"/>
      <c r="E22" s="19"/>
    </row>
  </sheetData>
  <printOptions/>
  <pageMargins left="0.38" right="0.17" top="1.17" bottom="0.89" header="0.41" footer="0.5511811023622047"/>
  <pageSetup firstPageNumber="21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pane xSplit="2" ySplit="2" topLeftCell="C3" activePane="bottomRight" state="frozen"/>
      <selection pane="topLeft" activeCell="F1" sqref="F1:G2"/>
      <selection pane="topRight" activeCell="F1" sqref="F1:G2"/>
      <selection pane="bottomLeft" activeCell="F1" sqref="F1:G2"/>
      <selection pane="bottomRight" activeCell="C3" sqref="C3"/>
    </sheetView>
  </sheetViews>
  <sheetFormatPr defaultColWidth="11.00390625" defaultRowHeight="18" customHeight="1"/>
  <cols>
    <col min="1" max="1" width="7.375" style="16" customWidth="1"/>
    <col min="2" max="2" width="43.00390625" style="18" customWidth="1"/>
    <col min="3" max="3" width="12.875" style="20" customWidth="1"/>
    <col min="4" max="4" width="12.875" style="20" bestFit="1" customWidth="1"/>
    <col min="5" max="5" width="12.875" style="20" customWidth="1"/>
    <col min="6" max="6" width="9.625" style="20" customWidth="1"/>
    <col min="7" max="7" width="9.625" style="20" bestFit="1" customWidth="1"/>
    <col min="8" max="16384" width="11.00390625" style="17" customWidth="1"/>
  </cols>
  <sheetData>
    <row r="1" spans="1:7" s="39" customFormat="1" ht="18.75" customHeight="1">
      <c r="A1" s="22" t="s">
        <v>29</v>
      </c>
      <c r="B1" s="23" t="s">
        <v>45</v>
      </c>
      <c r="C1" s="1" t="s">
        <v>325</v>
      </c>
      <c r="D1" s="111" t="s">
        <v>243</v>
      </c>
      <c r="E1" s="1" t="s">
        <v>326</v>
      </c>
      <c r="F1" s="121" t="s">
        <v>48</v>
      </c>
      <c r="G1" s="121" t="s">
        <v>48</v>
      </c>
    </row>
    <row r="2" spans="1:7" s="39" customFormat="1" ht="18" customHeight="1" thickBot="1">
      <c r="A2" s="24" t="s">
        <v>174</v>
      </c>
      <c r="B2" s="25"/>
      <c r="C2" s="28">
        <v>2004</v>
      </c>
      <c r="D2" s="109">
        <v>38245</v>
      </c>
      <c r="E2" s="28">
        <v>2004</v>
      </c>
      <c r="F2" s="6" t="s">
        <v>327</v>
      </c>
      <c r="G2" s="6" t="s">
        <v>328</v>
      </c>
    </row>
    <row r="3" spans="1:7" ht="18" customHeight="1">
      <c r="A3" s="9">
        <v>11.01</v>
      </c>
      <c r="B3" s="35" t="s">
        <v>225</v>
      </c>
      <c r="C3" s="36">
        <v>48276000</v>
      </c>
      <c r="D3" s="36">
        <v>37312190</v>
      </c>
      <c r="E3" s="36">
        <v>48276000</v>
      </c>
      <c r="F3" s="14">
        <f aca="true" t="shared" si="0" ref="F3:F9">IF(C3=0,"-",E3/C3*100)</f>
        <v>100</v>
      </c>
      <c r="G3" s="14">
        <f aca="true" t="shared" si="1" ref="G3:G9">IF(C3=0,"-",$D3/C3*100)</f>
        <v>77.28931560195542</v>
      </c>
    </row>
    <row r="4" spans="1:7" ht="18" customHeight="1">
      <c r="A4" s="9">
        <v>11.02</v>
      </c>
      <c r="B4" s="35" t="s">
        <v>42</v>
      </c>
      <c r="C4" s="36">
        <v>570000</v>
      </c>
      <c r="D4" s="36"/>
      <c r="E4" s="36">
        <v>570000</v>
      </c>
      <c r="F4" s="14">
        <f t="shared" si="0"/>
        <v>100</v>
      </c>
      <c r="G4" s="14">
        <f t="shared" si="1"/>
        <v>0</v>
      </c>
    </row>
    <row r="5" spans="1:7" ht="18" customHeight="1">
      <c r="A5" s="9">
        <v>11.03</v>
      </c>
      <c r="B5" s="35" t="s">
        <v>254</v>
      </c>
      <c r="C5" s="36">
        <f>50000000-4000000</f>
        <v>46000000</v>
      </c>
      <c r="D5" s="36"/>
      <c r="E5" s="36">
        <f>50000000-4000000</f>
        <v>46000000</v>
      </c>
      <c r="F5" s="14">
        <f t="shared" si="0"/>
        <v>100</v>
      </c>
      <c r="G5" s="14">
        <f t="shared" si="1"/>
        <v>0</v>
      </c>
    </row>
    <row r="6" spans="1:7" ht="18" customHeight="1">
      <c r="A6" s="9">
        <v>11.04</v>
      </c>
      <c r="B6" s="35" t="s">
        <v>226</v>
      </c>
      <c r="C6" s="36">
        <v>3100000</v>
      </c>
      <c r="D6" s="36">
        <v>1092929</v>
      </c>
      <c r="E6" s="36">
        <v>3100000</v>
      </c>
      <c r="F6" s="14">
        <f t="shared" si="0"/>
        <v>100</v>
      </c>
      <c r="G6" s="14">
        <f t="shared" si="1"/>
        <v>35.25577419354839</v>
      </c>
    </row>
    <row r="7" spans="1:7" ht="18" customHeight="1">
      <c r="A7" s="9">
        <v>11.05</v>
      </c>
      <c r="B7" s="35" t="s">
        <v>155</v>
      </c>
      <c r="C7" s="36">
        <v>1480000</v>
      </c>
      <c r="D7" s="36"/>
      <c r="E7" s="36">
        <v>1480000</v>
      </c>
      <c r="F7" s="14">
        <f t="shared" si="0"/>
        <v>100</v>
      </c>
      <c r="G7" s="14">
        <f t="shared" si="1"/>
        <v>0</v>
      </c>
    </row>
    <row r="8" spans="1:7" ht="18" customHeight="1">
      <c r="A8" s="9"/>
      <c r="B8" s="35"/>
      <c r="C8" s="36"/>
      <c r="D8" s="36"/>
      <c r="E8" s="36"/>
      <c r="F8" s="14"/>
      <c r="G8" s="14"/>
    </row>
    <row r="9" spans="1:7" ht="18" customHeight="1" thickBot="1">
      <c r="A9" s="3"/>
      <c r="B9" s="29" t="s">
        <v>189</v>
      </c>
      <c r="C9" s="37">
        <f>SUM(C3:C8)</f>
        <v>99426000</v>
      </c>
      <c r="D9" s="37">
        <f>SUM(D3:D8)</f>
        <v>38405119</v>
      </c>
      <c r="E9" s="37">
        <f>SUM(E3:E8)</f>
        <v>99426000</v>
      </c>
      <c r="F9" s="31">
        <f t="shared" si="0"/>
        <v>100</v>
      </c>
      <c r="G9" s="31">
        <f t="shared" si="1"/>
        <v>38.62683704463621</v>
      </c>
    </row>
    <row r="10" ht="18" customHeight="1">
      <c r="A10" s="38" t="s">
        <v>24</v>
      </c>
    </row>
    <row r="11" spans="3:5" ht="18" customHeight="1">
      <c r="C11" s="19"/>
      <c r="D11" s="19"/>
      <c r="E11" s="19"/>
    </row>
  </sheetData>
  <printOptions/>
  <pageMargins left="0.41" right="0.17" top="1.17" bottom="0.89" header="0.41" footer="0.5511811023622047"/>
  <pageSetup firstPageNumber="22" useFirstPageNumber="1" horizontalDpi="360" verticalDpi="360" orientation="portrait" paperSize="9" scale="90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pane xSplit="2" ySplit="2" topLeftCell="C3" activePane="bottomRight" state="frozen"/>
      <selection pane="topLeft" activeCell="F1" sqref="F1:G2"/>
      <selection pane="topRight" activeCell="F1" sqref="F1:G2"/>
      <selection pane="bottomLeft" activeCell="F1" sqref="F1:G2"/>
      <selection pane="bottomRight" activeCell="E6" sqref="E6"/>
    </sheetView>
  </sheetViews>
  <sheetFormatPr defaultColWidth="11.00390625" defaultRowHeight="18" customHeight="1"/>
  <cols>
    <col min="1" max="1" width="7.25390625" style="16" customWidth="1"/>
    <col min="2" max="2" width="42.625" style="18" customWidth="1"/>
    <col min="3" max="3" width="12.875" style="20" customWidth="1"/>
    <col min="4" max="4" width="12.875" style="20" bestFit="1" customWidth="1"/>
    <col min="5" max="5" width="12.875" style="20" customWidth="1"/>
    <col min="6" max="6" width="9.625" style="20" customWidth="1"/>
    <col min="7" max="7" width="9.625" style="20" bestFit="1" customWidth="1"/>
    <col min="8" max="16384" width="11.00390625" style="17" customWidth="1"/>
  </cols>
  <sheetData>
    <row r="1" spans="1:7" s="33" customFormat="1" ht="18" customHeight="1">
      <c r="A1" s="22" t="s">
        <v>29</v>
      </c>
      <c r="B1" s="23" t="s">
        <v>45</v>
      </c>
      <c r="C1" s="1" t="s">
        <v>325</v>
      </c>
      <c r="D1" s="111" t="s">
        <v>243</v>
      </c>
      <c r="E1" s="1" t="s">
        <v>326</v>
      </c>
      <c r="F1" s="121" t="s">
        <v>48</v>
      </c>
      <c r="G1" s="121" t="s">
        <v>48</v>
      </c>
    </row>
    <row r="2" spans="1:7" s="33" customFormat="1" ht="18" customHeight="1" thickBot="1">
      <c r="A2" s="24" t="s">
        <v>174</v>
      </c>
      <c r="B2" s="25"/>
      <c r="C2" s="28">
        <v>2004</v>
      </c>
      <c r="D2" s="109">
        <v>38245</v>
      </c>
      <c r="E2" s="28">
        <v>2004</v>
      </c>
      <c r="F2" s="6" t="s">
        <v>327</v>
      </c>
      <c r="G2" s="6" t="s">
        <v>328</v>
      </c>
    </row>
    <row r="3" spans="1:7" ht="18" customHeight="1">
      <c r="A3" s="34">
        <v>12.01</v>
      </c>
      <c r="B3" s="35" t="s">
        <v>227</v>
      </c>
      <c r="C3" s="36">
        <v>2200000</v>
      </c>
      <c r="D3" s="36">
        <v>1254829</v>
      </c>
      <c r="E3" s="36">
        <v>2200000</v>
      </c>
      <c r="F3" s="14">
        <f>IF(C3=0,"-",$E3/C3*100)</f>
        <v>100</v>
      </c>
      <c r="G3" s="14">
        <f>IF(C3=0,"-",$D3/C3*100)</f>
        <v>57.03768181818182</v>
      </c>
    </row>
    <row r="4" spans="1:7" ht="18" customHeight="1">
      <c r="A4" s="9">
        <v>12.02</v>
      </c>
      <c r="B4" s="35" t="s">
        <v>280</v>
      </c>
      <c r="C4" s="36">
        <v>15000000</v>
      </c>
      <c r="D4" s="36">
        <v>6707361</v>
      </c>
      <c r="E4" s="36">
        <v>15000000</v>
      </c>
      <c r="F4" s="14">
        <f aca="true" t="shared" si="0" ref="F4:F13">IF(C4=0,"-",$E4/C4*100)</f>
        <v>100</v>
      </c>
      <c r="G4" s="14">
        <f aca="true" t="shared" si="1" ref="G4:G13">IF(C4=0,"-",$D4/C4*100)</f>
        <v>44.71574</v>
      </c>
    </row>
    <row r="5" spans="1:7" ht="18" customHeight="1">
      <c r="A5" s="9">
        <v>12.03</v>
      </c>
      <c r="B5" s="35" t="s">
        <v>228</v>
      </c>
      <c r="C5" s="36">
        <f>14000000+3000000</f>
        <v>17000000</v>
      </c>
      <c r="D5" s="36">
        <v>10658543</v>
      </c>
      <c r="E5" s="36">
        <f>14000000+3000000-5655591+2598053</f>
        <v>13942462</v>
      </c>
      <c r="F5" s="14">
        <f t="shared" si="0"/>
        <v>82.01448235294117</v>
      </c>
      <c r="G5" s="14">
        <f t="shared" si="1"/>
        <v>62.69731176470589</v>
      </c>
    </row>
    <row r="6" spans="1:8" ht="18" customHeight="1">
      <c r="A6" s="9">
        <v>12.05</v>
      </c>
      <c r="B6" s="11" t="s">
        <v>229</v>
      </c>
      <c r="C6" s="36">
        <v>1000000</v>
      </c>
      <c r="D6" s="36">
        <v>57538</v>
      </c>
      <c r="E6" s="36">
        <f>1000000-942462</f>
        <v>57538</v>
      </c>
      <c r="F6" s="14">
        <f t="shared" si="0"/>
        <v>5.7538</v>
      </c>
      <c r="G6" s="14">
        <f t="shared" si="1"/>
        <v>5.7538</v>
      </c>
      <c r="H6" s="26">
        <f>SUM(D6:D7)</f>
        <v>735064</v>
      </c>
    </row>
    <row r="7" spans="1:7" ht="18" customHeight="1">
      <c r="A7" s="9">
        <v>12.05</v>
      </c>
      <c r="B7" s="11" t="s">
        <v>264</v>
      </c>
      <c r="C7" s="36">
        <v>2000000</v>
      </c>
      <c r="D7" s="36">
        <v>677526</v>
      </c>
      <c r="E7" s="36">
        <f>2000000+2600000</f>
        <v>4600000</v>
      </c>
      <c r="F7" s="14">
        <f t="shared" si="0"/>
        <v>229.99999999999997</v>
      </c>
      <c r="G7" s="14">
        <f t="shared" si="1"/>
        <v>33.8763</v>
      </c>
    </row>
    <row r="8" spans="1:7" ht="18" customHeight="1">
      <c r="A8" s="27" t="s">
        <v>278</v>
      </c>
      <c r="B8" s="11" t="s">
        <v>265</v>
      </c>
      <c r="C8" s="36">
        <v>4000000</v>
      </c>
      <c r="D8" s="36">
        <v>2096544</v>
      </c>
      <c r="E8" s="36">
        <v>4000000</v>
      </c>
      <c r="F8" s="14">
        <f t="shared" si="0"/>
        <v>100</v>
      </c>
      <c r="G8" s="14">
        <f t="shared" si="1"/>
        <v>52.4136</v>
      </c>
    </row>
    <row r="9" spans="1:7" ht="18" customHeight="1">
      <c r="A9" s="27" t="s">
        <v>365</v>
      </c>
      <c r="B9" s="35" t="s">
        <v>366</v>
      </c>
      <c r="C9" s="36">
        <v>0</v>
      </c>
      <c r="D9" s="36"/>
      <c r="E9" s="36">
        <v>1330000</v>
      </c>
      <c r="F9" s="14" t="str">
        <f t="shared" si="0"/>
        <v>-</v>
      </c>
      <c r="G9" s="14" t="str">
        <f t="shared" si="1"/>
        <v>-</v>
      </c>
    </row>
    <row r="10" spans="1:7" ht="18" customHeight="1">
      <c r="A10" s="27">
        <v>12.08</v>
      </c>
      <c r="B10" s="35" t="s">
        <v>367</v>
      </c>
      <c r="C10" s="36">
        <v>0</v>
      </c>
      <c r="D10" s="36"/>
      <c r="E10" s="36">
        <v>195000</v>
      </c>
      <c r="F10" s="14" t="str">
        <f t="shared" si="0"/>
        <v>-</v>
      </c>
      <c r="G10" s="14" t="str">
        <f t="shared" si="1"/>
        <v>-</v>
      </c>
    </row>
    <row r="11" spans="1:7" ht="18" customHeight="1">
      <c r="A11" s="27" t="s">
        <v>365</v>
      </c>
      <c r="B11" s="35" t="s">
        <v>368</v>
      </c>
      <c r="C11" s="36">
        <v>0</v>
      </c>
      <c r="D11" s="36"/>
      <c r="E11" s="36">
        <v>2475000</v>
      </c>
      <c r="F11" s="14" t="str">
        <f t="shared" si="0"/>
        <v>-</v>
      </c>
      <c r="G11" s="14" t="str">
        <f t="shared" si="1"/>
        <v>-</v>
      </c>
    </row>
    <row r="12" spans="1:7" ht="18" customHeight="1">
      <c r="A12" s="27"/>
      <c r="B12" s="11"/>
      <c r="C12" s="36"/>
      <c r="D12" s="36"/>
      <c r="E12" s="36"/>
      <c r="F12" s="14"/>
      <c r="G12" s="14"/>
    </row>
    <row r="13" spans="1:7" ht="18" customHeight="1" thickBot="1">
      <c r="A13" s="3"/>
      <c r="B13" s="29" t="s">
        <v>189</v>
      </c>
      <c r="C13" s="37">
        <f>SUM(C3:C12)</f>
        <v>41200000</v>
      </c>
      <c r="D13" s="37">
        <f>SUM(D3:D12)</f>
        <v>21452341</v>
      </c>
      <c r="E13" s="37">
        <f>SUM(E3:E12)</f>
        <v>43800000</v>
      </c>
      <c r="F13" s="31">
        <f t="shared" si="0"/>
        <v>106.31067961165049</v>
      </c>
      <c r="G13" s="31">
        <f t="shared" si="1"/>
        <v>52.06878883495145</v>
      </c>
    </row>
    <row r="14" ht="18" customHeight="1">
      <c r="A14" s="38" t="s">
        <v>24</v>
      </c>
    </row>
    <row r="15" spans="3:5" ht="18" customHeight="1">
      <c r="C15" s="19"/>
      <c r="D15" s="19"/>
      <c r="E15" s="19"/>
    </row>
  </sheetData>
  <printOptions/>
  <pageMargins left="0.38" right="0.17" top="1.19" bottom="0.94" header="0.41" footer="0.5511811023622047"/>
  <pageSetup firstPageNumber="23" useFirstPageNumber="1" horizontalDpi="360" verticalDpi="360" orientation="portrait" paperSize="9" scale="93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pane xSplit="2" ySplit="2" topLeftCell="C3" activePane="bottomRight" state="frozen"/>
      <selection pane="topLeft" activeCell="F1" sqref="F1:G2"/>
      <selection pane="topRight" activeCell="F1" sqref="F1:G2"/>
      <selection pane="bottomLeft" activeCell="F1" sqref="F1:G2"/>
      <selection pane="bottomRight" activeCell="C3" sqref="C3"/>
    </sheetView>
  </sheetViews>
  <sheetFormatPr defaultColWidth="9.00390625" defaultRowHeight="16.5" customHeight="1"/>
  <cols>
    <col min="1" max="1" width="7.00390625" style="32" customWidth="1"/>
    <col min="2" max="2" width="45.125" style="18" customWidth="1"/>
    <col min="3" max="3" width="12.875" style="19" customWidth="1"/>
    <col min="4" max="4" width="12.875" style="19" bestFit="1" customWidth="1"/>
    <col min="5" max="5" width="12.875" style="19" customWidth="1"/>
    <col min="6" max="6" width="9.625" style="20" customWidth="1"/>
    <col min="7" max="7" width="9.625" style="20" bestFit="1" customWidth="1"/>
    <col min="8" max="8" width="11.625" style="17" customWidth="1"/>
    <col min="9" max="16384" width="9.125" style="17" customWidth="1"/>
  </cols>
  <sheetData>
    <row r="1" spans="1:7" ht="16.5" customHeight="1">
      <c r="A1" s="22" t="s">
        <v>29</v>
      </c>
      <c r="B1" s="23" t="s">
        <v>45</v>
      </c>
      <c r="C1" s="1" t="s">
        <v>325</v>
      </c>
      <c r="D1" s="111" t="s">
        <v>243</v>
      </c>
      <c r="E1" s="1" t="s">
        <v>326</v>
      </c>
      <c r="F1" s="121" t="s">
        <v>48</v>
      </c>
      <c r="G1" s="121" t="s">
        <v>48</v>
      </c>
    </row>
    <row r="2" spans="1:7" ht="16.5" customHeight="1" thickBot="1">
      <c r="A2" s="24" t="s">
        <v>174</v>
      </c>
      <c r="B2" s="25"/>
      <c r="C2" s="28">
        <v>2004</v>
      </c>
      <c r="D2" s="109">
        <v>38245</v>
      </c>
      <c r="E2" s="28">
        <v>2004</v>
      </c>
      <c r="F2" s="6" t="s">
        <v>327</v>
      </c>
      <c r="G2" s="6" t="s">
        <v>328</v>
      </c>
    </row>
    <row r="3" spans="1:8" ht="16.5" customHeight="1">
      <c r="A3" s="9">
        <v>13.01</v>
      </c>
      <c r="B3" s="11" t="s">
        <v>145</v>
      </c>
      <c r="C3" s="12">
        <f>7500000-100000+1000000</f>
        <v>8400000</v>
      </c>
      <c r="D3" s="12">
        <v>5885532</v>
      </c>
      <c r="E3" s="12">
        <f>7500000-100000+1000000</f>
        <v>8400000</v>
      </c>
      <c r="F3" s="14">
        <f>IF(C3=0,"-",$E3/C3*100)</f>
        <v>100</v>
      </c>
      <c r="G3" s="14">
        <f>IF(C3=0,"-",$D3/C3*100)</f>
        <v>70.06585714285714</v>
      </c>
      <c r="H3" s="26">
        <f>SUM(D3:D4)</f>
        <v>7149259</v>
      </c>
    </row>
    <row r="4" spans="1:7" ht="16.5" customHeight="1">
      <c r="A4" s="27" t="s">
        <v>49</v>
      </c>
      <c r="B4" s="11" t="s">
        <v>301</v>
      </c>
      <c r="C4" s="12">
        <v>4000000</v>
      </c>
      <c r="D4" s="12">
        <v>1263727</v>
      </c>
      <c r="E4" s="12">
        <v>4000000</v>
      </c>
      <c r="F4" s="14">
        <f aca="true" t="shared" si="0" ref="F4:F37">IF(C4=0,"-",$E4/C4*100)</f>
        <v>100</v>
      </c>
      <c r="G4" s="14">
        <f aca="true" t="shared" si="1" ref="G4:G37">IF(C4=0,"-",$D4/C4*100)</f>
        <v>31.593175000000002</v>
      </c>
    </row>
    <row r="5" spans="1:7" ht="16.5" customHeight="1">
      <c r="A5" s="9"/>
      <c r="B5" s="120" t="s">
        <v>158</v>
      </c>
      <c r="C5" s="12"/>
      <c r="D5" s="12"/>
      <c r="E5" s="12"/>
      <c r="F5" s="14"/>
      <c r="G5" s="14"/>
    </row>
    <row r="6" spans="1:7" ht="16.5" customHeight="1">
      <c r="A6" s="9">
        <v>13.02</v>
      </c>
      <c r="B6" s="11" t="s">
        <v>330</v>
      </c>
      <c r="C6" s="12">
        <f>11000000-1000000</f>
        <v>10000000</v>
      </c>
      <c r="D6" s="12">
        <v>4158618</v>
      </c>
      <c r="E6" s="12">
        <f>11000000-1000000-3000000</f>
        <v>7000000</v>
      </c>
      <c r="F6" s="14">
        <f t="shared" si="0"/>
        <v>70</v>
      </c>
      <c r="G6" s="14">
        <f t="shared" si="1"/>
        <v>41.58618</v>
      </c>
    </row>
    <row r="7" spans="1:7" ht="16.5" customHeight="1">
      <c r="A7" s="9">
        <v>13.03</v>
      </c>
      <c r="B7" s="11" t="s">
        <v>331</v>
      </c>
      <c r="C7" s="12">
        <v>10860000</v>
      </c>
      <c r="D7" s="12">
        <v>3080497</v>
      </c>
      <c r="E7" s="12">
        <f>10860000-6000000</f>
        <v>4860000</v>
      </c>
      <c r="F7" s="14">
        <f t="shared" si="0"/>
        <v>44.751381215469614</v>
      </c>
      <c r="G7" s="14">
        <f t="shared" si="1"/>
        <v>28.365534069981585</v>
      </c>
    </row>
    <row r="8" spans="1:7" ht="16.5" customHeight="1">
      <c r="A8" s="9">
        <v>13.04</v>
      </c>
      <c r="B8" s="11" t="s">
        <v>332</v>
      </c>
      <c r="C8" s="12">
        <v>1000000</v>
      </c>
      <c r="D8" s="12">
        <v>432399</v>
      </c>
      <c r="E8" s="12">
        <v>1000000</v>
      </c>
      <c r="F8" s="14">
        <f t="shared" si="0"/>
        <v>100</v>
      </c>
      <c r="G8" s="14">
        <f t="shared" si="1"/>
        <v>43.2399</v>
      </c>
    </row>
    <row r="9" spans="1:7" ht="16.5" customHeight="1">
      <c r="A9" s="9">
        <v>13.05</v>
      </c>
      <c r="B9" s="11" t="s">
        <v>333</v>
      </c>
      <c r="C9" s="12">
        <v>4750000</v>
      </c>
      <c r="D9" s="12">
        <v>2666515</v>
      </c>
      <c r="E9" s="12">
        <v>4750000</v>
      </c>
      <c r="F9" s="14">
        <f t="shared" si="0"/>
        <v>100</v>
      </c>
      <c r="G9" s="14">
        <f t="shared" si="1"/>
        <v>56.137157894736845</v>
      </c>
    </row>
    <row r="10" spans="1:7" ht="16.5" customHeight="1">
      <c r="A10" s="9">
        <v>13.06</v>
      </c>
      <c r="B10" s="11" t="s">
        <v>334</v>
      </c>
      <c r="C10" s="12">
        <f>7500000-1000000</f>
        <v>6500000</v>
      </c>
      <c r="D10" s="12"/>
      <c r="E10" s="12">
        <f>7500000-1000000</f>
        <v>6500000</v>
      </c>
      <c r="F10" s="14">
        <f t="shared" si="0"/>
        <v>100</v>
      </c>
      <c r="G10" s="14">
        <f t="shared" si="1"/>
        <v>0</v>
      </c>
    </row>
    <row r="11" spans="1:7" ht="16.5" customHeight="1">
      <c r="A11" s="9">
        <v>13.07</v>
      </c>
      <c r="B11" s="11" t="s">
        <v>177</v>
      </c>
      <c r="C11" s="12">
        <v>4500000</v>
      </c>
      <c r="D11" s="12">
        <v>3682719</v>
      </c>
      <c r="E11" s="12">
        <v>4500000</v>
      </c>
      <c r="F11" s="14">
        <f t="shared" si="0"/>
        <v>100</v>
      </c>
      <c r="G11" s="14">
        <f t="shared" si="1"/>
        <v>81.8382</v>
      </c>
    </row>
    <row r="12" spans="1:7" ht="16.5" customHeight="1">
      <c r="A12" s="9">
        <v>13.08</v>
      </c>
      <c r="B12" s="11" t="s">
        <v>27</v>
      </c>
      <c r="C12" s="12">
        <v>3900000</v>
      </c>
      <c r="D12" s="12">
        <v>2182272</v>
      </c>
      <c r="E12" s="12">
        <v>3900000</v>
      </c>
      <c r="F12" s="14">
        <f t="shared" si="0"/>
        <v>100</v>
      </c>
      <c r="G12" s="14">
        <f t="shared" si="1"/>
        <v>55.9556923076923</v>
      </c>
    </row>
    <row r="13" spans="1:7" ht="16.5" customHeight="1">
      <c r="A13" s="9">
        <v>13.09</v>
      </c>
      <c r="B13" s="11" t="s">
        <v>175</v>
      </c>
      <c r="C13" s="12">
        <v>53000000</v>
      </c>
      <c r="D13" s="12">
        <v>39921000</v>
      </c>
      <c r="E13" s="12">
        <v>53000000</v>
      </c>
      <c r="F13" s="14">
        <f t="shared" si="0"/>
        <v>100</v>
      </c>
      <c r="G13" s="14">
        <f t="shared" si="1"/>
        <v>75.32264150943396</v>
      </c>
    </row>
    <row r="14" spans="1:8" ht="16.5" customHeight="1">
      <c r="A14" s="27" t="s">
        <v>169</v>
      </c>
      <c r="B14" s="11" t="s">
        <v>22</v>
      </c>
      <c r="C14" s="12">
        <v>14710000</v>
      </c>
      <c r="D14" s="12">
        <v>10018911</v>
      </c>
      <c r="E14" s="12">
        <f>14710000+710000</f>
        <v>15420000</v>
      </c>
      <c r="F14" s="14">
        <f t="shared" si="0"/>
        <v>104.82664853840924</v>
      </c>
      <c r="G14" s="14">
        <f t="shared" si="1"/>
        <v>68.1095241332427</v>
      </c>
      <c r="H14" s="26">
        <f>SUM(D14:D14)</f>
        <v>10018911</v>
      </c>
    </row>
    <row r="15" spans="1:7" ht="16.5" customHeight="1">
      <c r="A15" s="27" t="s">
        <v>170</v>
      </c>
      <c r="B15" s="11" t="s">
        <v>182</v>
      </c>
      <c r="C15" s="12">
        <v>1300000</v>
      </c>
      <c r="D15" s="12">
        <v>997015</v>
      </c>
      <c r="E15" s="12">
        <v>1300000</v>
      </c>
      <c r="F15" s="14">
        <f t="shared" si="0"/>
        <v>100</v>
      </c>
      <c r="G15" s="14">
        <f t="shared" si="1"/>
        <v>76.69346153846153</v>
      </c>
    </row>
    <row r="16" spans="1:8" ht="16.5" customHeight="1">
      <c r="A16" s="27" t="s">
        <v>171</v>
      </c>
      <c r="B16" s="11" t="s">
        <v>23</v>
      </c>
      <c r="C16" s="12">
        <v>2800000</v>
      </c>
      <c r="D16" s="12">
        <v>1700000</v>
      </c>
      <c r="E16" s="12">
        <v>2800000</v>
      </c>
      <c r="F16" s="14">
        <f t="shared" si="0"/>
        <v>100</v>
      </c>
      <c r="G16" s="14">
        <f t="shared" si="1"/>
        <v>60.71428571428571</v>
      </c>
      <c r="H16" s="26">
        <f>SUM(D16:D17)</f>
        <v>1700000</v>
      </c>
    </row>
    <row r="17" spans="1:7" ht="16.5" customHeight="1">
      <c r="A17" s="27" t="s">
        <v>171</v>
      </c>
      <c r="B17" s="11" t="s">
        <v>153</v>
      </c>
      <c r="C17" s="12">
        <f>2800000-500000</f>
        <v>2300000</v>
      </c>
      <c r="D17" s="12"/>
      <c r="E17" s="12">
        <f>2800000-500000</f>
        <v>2300000</v>
      </c>
      <c r="F17" s="14">
        <f t="shared" si="0"/>
        <v>100</v>
      </c>
      <c r="G17" s="14">
        <f t="shared" si="1"/>
        <v>0</v>
      </c>
    </row>
    <row r="18" spans="1:7" ht="16.5" customHeight="1">
      <c r="A18" s="27" t="s">
        <v>171</v>
      </c>
      <c r="B18" s="11" t="s">
        <v>324</v>
      </c>
      <c r="C18" s="12">
        <v>500000</v>
      </c>
      <c r="D18" s="12"/>
      <c r="E18" s="12">
        <v>500000</v>
      </c>
      <c r="F18" s="14">
        <f t="shared" si="0"/>
        <v>100</v>
      </c>
      <c r="G18" s="14">
        <f t="shared" si="1"/>
        <v>0</v>
      </c>
    </row>
    <row r="19" spans="1:7" ht="16.5" customHeight="1">
      <c r="A19" s="27" t="s">
        <v>52</v>
      </c>
      <c r="B19" s="11" t="s">
        <v>18</v>
      </c>
      <c r="C19" s="12">
        <f>620000+540000</f>
        <v>1160000</v>
      </c>
      <c r="D19" s="12">
        <v>650000</v>
      </c>
      <c r="E19" s="12">
        <f>620000+540000</f>
        <v>1160000</v>
      </c>
      <c r="F19" s="14">
        <f t="shared" si="0"/>
        <v>100</v>
      </c>
      <c r="G19" s="14">
        <f t="shared" si="1"/>
        <v>56.03448275862068</v>
      </c>
    </row>
    <row r="20" spans="1:7" ht="16.5" customHeight="1">
      <c r="A20" s="27" t="s">
        <v>53</v>
      </c>
      <c r="B20" s="11" t="s">
        <v>133</v>
      </c>
      <c r="C20" s="12">
        <v>5000000</v>
      </c>
      <c r="D20" s="12"/>
      <c r="E20" s="12">
        <v>5000000</v>
      </c>
      <c r="F20" s="14">
        <f t="shared" si="0"/>
        <v>100</v>
      </c>
      <c r="G20" s="14">
        <f t="shared" si="1"/>
        <v>0</v>
      </c>
    </row>
    <row r="21" spans="1:7" ht="16.5" customHeight="1">
      <c r="A21" s="27" t="s">
        <v>55</v>
      </c>
      <c r="B21" s="11" t="s">
        <v>144</v>
      </c>
      <c r="C21" s="12">
        <v>32000000</v>
      </c>
      <c r="D21" s="12">
        <v>21200000</v>
      </c>
      <c r="E21" s="12">
        <v>32000000</v>
      </c>
      <c r="F21" s="14">
        <f t="shared" si="0"/>
        <v>100</v>
      </c>
      <c r="G21" s="14">
        <f t="shared" si="1"/>
        <v>66.25</v>
      </c>
    </row>
    <row r="22" spans="1:7" ht="16.5" customHeight="1">
      <c r="A22" s="27" t="s">
        <v>172</v>
      </c>
      <c r="B22" s="11" t="s">
        <v>230</v>
      </c>
      <c r="C22" s="12">
        <v>7000000</v>
      </c>
      <c r="D22" s="12">
        <v>6361259</v>
      </c>
      <c r="E22" s="12">
        <f>7000000+1000000</f>
        <v>8000000</v>
      </c>
      <c r="F22" s="14">
        <f t="shared" si="0"/>
        <v>114.28571428571428</v>
      </c>
      <c r="G22" s="14">
        <f t="shared" si="1"/>
        <v>90.87512857142858</v>
      </c>
    </row>
    <row r="23" spans="1:7" ht="16.5" customHeight="1">
      <c r="A23" s="27" t="s">
        <v>56</v>
      </c>
      <c r="B23" s="11" t="s">
        <v>16</v>
      </c>
      <c r="C23" s="12">
        <v>5000000</v>
      </c>
      <c r="D23" s="12">
        <v>6506158</v>
      </c>
      <c r="E23" s="12">
        <f>5000000+2500000</f>
        <v>7500000</v>
      </c>
      <c r="F23" s="14">
        <f t="shared" si="0"/>
        <v>150</v>
      </c>
      <c r="G23" s="14">
        <f t="shared" si="1"/>
        <v>130.12315999999998</v>
      </c>
    </row>
    <row r="24" spans="1:8" ht="16.5" customHeight="1">
      <c r="A24" s="27" t="s">
        <v>54</v>
      </c>
      <c r="B24" s="11" t="s">
        <v>17</v>
      </c>
      <c r="C24" s="12">
        <v>5000000</v>
      </c>
      <c r="D24" s="12">
        <v>279554</v>
      </c>
      <c r="E24" s="12">
        <v>5000000</v>
      </c>
      <c r="F24" s="14">
        <f t="shared" si="0"/>
        <v>100</v>
      </c>
      <c r="G24" s="14">
        <f t="shared" si="1"/>
        <v>5.59108</v>
      </c>
      <c r="H24" s="26">
        <f>SUM(D24:D25)</f>
        <v>3279554</v>
      </c>
    </row>
    <row r="25" spans="1:7" ht="16.5" customHeight="1">
      <c r="A25" s="27" t="s">
        <v>54</v>
      </c>
      <c r="B25" s="11" t="s">
        <v>356</v>
      </c>
      <c r="C25" s="12">
        <v>3000000</v>
      </c>
      <c r="D25" s="12">
        <v>3000000</v>
      </c>
      <c r="E25" s="12">
        <v>3000000</v>
      </c>
      <c r="F25" s="14">
        <f t="shared" si="0"/>
        <v>100</v>
      </c>
      <c r="G25" s="14">
        <f t="shared" si="1"/>
        <v>100</v>
      </c>
    </row>
    <row r="26" spans="1:7" ht="16.5" customHeight="1">
      <c r="A26" s="27" t="s">
        <v>51</v>
      </c>
      <c r="B26" s="11" t="s">
        <v>43</v>
      </c>
      <c r="C26" s="12">
        <v>1500000</v>
      </c>
      <c r="D26" s="12">
        <v>750000</v>
      </c>
      <c r="E26" s="12">
        <v>1500000</v>
      </c>
      <c r="F26" s="14">
        <f t="shared" si="0"/>
        <v>100</v>
      </c>
      <c r="G26" s="14">
        <f t="shared" si="1"/>
        <v>50</v>
      </c>
    </row>
    <row r="27" spans="1:8" ht="16.5" customHeight="1">
      <c r="A27" s="27" t="s">
        <v>50</v>
      </c>
      <c r="B27" s="11" t="s">
        <v>295</v>
      </c>
      <c r="C27" s="12">
        <v>5500000</v>
      </c>
      <c r="D27" s="12">
        <v>2430575</v>
      </c>
      <c r="E27" s="12">
        <f>5500000-408</f>
        <v>5499592</v>
      </c>
      <c r="F27" s="14">
        <f t="shared" si="0"/>
        <v>99.99258181818182</v>
      </c>
      <c r="G27" s="14">
        <f t="shared" si="1"/>
        <v>44.19227272727273</v>
      </c>
      <c r="H27" s="26"/>
    </row>
    <row r="28" spans="1:8" ht="16.5" customHeight="1">
      <c r="A28" s="27" t="s">
        <v>50</v>
      </c>
      <c r="B28" s="11" t="s">
        <v>357</v>
      </c>
      <c r="C28" s="12">
        <f>8000000+10000000</f>
        <v>18000000</v>
      </c>
      <c r="D28" s="12">
        <v>10114513</v>
      </c>
      <c r="E28" s="12">
        <f>8000000+10000000</f>
        <v>18000000</v>
      </c>
      <c r="F28" s="14">
        <f t="shared" si="0"/>
        <v>100</v>
      </c>
      <c r="G28" s="14">
        <f t="shared" si="1"/>
        <v>56.191738888888885</v>
      </c>
      <c r="H28" s="26"/>
    </row>
    <row r="29" spans="1:7" ht="16.5" customHeight="1">
      <c r="A29" s="27">
        <v>13.23</v>
      </c>
      <c r="B29" s="11" t="s">
        <v>305</v>
      </c>
      <c r="C29" s="12">
        <f>6000000+2000000</f>
        <v>8000000</v>
      </c>
      <c r="D29" s="12">
        <v>3276939</v>
      </c>
      <c r="E29" s="12">
        <f>6000000+2000000</f>
        <v>8000000</v>
      </c>
      <c r="F29" s="14">
        <f t="shared" si="0"/>
        <v>100</v>
      </c>
      <c r="G29" s="14">
        <f t="shared" si="1"/>
        <v>40.9617375</v>
      </c>
    </row>
    <row r="30" spans="1:7" ht="16.5" customHeight="1">
      <c r="A30" s="27" t="s">
        <v>134</v>
      </c>
      <c r="B30" s="11" t="s">
        <v>358</v>
      </c>
      <c r="C30" s="12">
        <f>51900000</f>
        <v>51900000</v>
      </c>
      <c r="D30" s="12">
        <v>34600025</v>
      </c>
      <c r="E30" s="12">
        <f>51900000</f>
        <v>51900000</v>
      </c>
      <c r="F30" s="14">
        <f t="shared" si="0"/>
        <v>100</v>
      </c>
      <c r="G30" s="14">
        <f t="shared" si="1"/>
        <v>66.6667148362235</v>
      </c>
    </row>
    <row r="31" spans="1:7" ht="16.5" customHeight="1">
      <c r="A31" s="27" t="s">
        <v>173</v>
      </c>
      <c r="B31" s="11" t="s">
        <v>359</v>
      </c>
      <c r="C31" s="12">
        <f>45000000+24000000+3000000</f>
        <v>72000000</v>
      </c>
      <c r="D31" s="12">
        <v>35604569</v>
      </c>
      <c r="E31" s="12">
        <f>45000000+24000000+3000000+16978100</f>
        <v>88978100</v>
      </c>
      <c r="F31" s="14">
        <f t="shared" si="0"/>
        <v>123.58069444444443</v>
      </c>
      <c r="G31" s="14">
        <f t="shared" si="1"/>
        <v>49.45079027777778</v>
      </c>
    </row>
    <row r="32" spans="1:7" ht="16.5" customHeight="1">
      <c r="A32" s="27">
        <v>13.28</v>
      </c>
      <c r="B32" s="11" t="s">
        <v>180</v>
      </c>
      <c r="C32" s="12">
        <v>7000000</v>
      </c>
      <c r="D32" s="12">
        <v>3904682</v>
      </c>
      <c r="E32" s="12">
        <v>7000000</v>
      </c>
      <c r="F32" s="14">
        <f t="shared" si="0"/>
        <v>100</v>
      </c>
      <c r="G32" s="14">
        <f t="shared" si="1"/>
        <v>55.78117142857143</v>
      </c>
    </row>
    <row r="33" spans="1:7" ht="16.5" customHeight="1">
      <c r="A33" s="27" t="s">
        <v>273</v>
      </c>
      <c r="B33" s="11" t="s">
        <v>274</v>
      </c>
      <c r="C33" s="12">
        <v>103500000</v>
      </c>
      <c r="D33" s="12">
        <v>102660042</v>
      </c>
      <c r="E33" s="12">
        <v>102660042</v>
      </c>
      <c r="F33" s="14">
        <f t="shared" si="0"/>
        <v>99.18844637681158</v>
      </c>
      <c r="G33" s="14">
        <f t="shared" si="1"/>
        <v>99.18844637681158</v>
      </c>
    </row>
    <row r="34" spans="1:7" ht="16.5" customHeight="1">
      <c r="A34" s="27" t="s">
        <v>277</v>
      </c>
      <c r="B34" s="11" t="s">
        <v>360</v>
      </c>
      <c r="C34" s="12">
        <v>37424667</v>
      </c>
      <c r="D34" s="12">
        <v>37424667</v>
      </c>
      <c r="E34" s="12">
        <v>37424667</v>
      </c>
      <c r="F34" s="14">
        <f t="shared" si="0"/>
        <v>100</v>
      </c>
      <c r="G34" s="14">
        <f t="shared" si="1"/>
        <v>100</v>
      </c>
    </row>
    <row r="35" spans="1:7" ht="16.5" customHeight="1">
      <c r="A35" s="27">
        <v>13.32</v>
      </c>
      <c r="B35" s="11" t="s">
        <v>297</v>
      </c>
      <c r="C35" s="12">
        <v>30000000</v>
      </c>
      <c r="D35" s="12">
        <v>53477824</v>
      </c>
      <c r="E35" s="12">
        <f>30000000+25000000</f>
        <v>55000000</v>
      </c>
      <c r="F35" s="14">
        <f t="shared" si="0"/>
        <v>183.33333333333331</v>
      </c>
      <c r="G35" s="14">
        <f t="shared" si="1"/>
        <v>178.25941333333333</v>
      </c>
    </row>
    <row r="36" spans="1:7" ht="16.5" customHeight="1">
      <c r="A36" s="27"/>
      <c r="B36" s="11"/>
      <c r="C36" s="12"/>
      <c r="D36" s="12"/>
      <c r="E36" s="12"/>
      <c r="F36" s="14"/>
      <c r="G36" s="14"/>
    </row>
    <row r="37" spans="1:7" ht="16.5" customHeight="1" thickBot="1">
      <c r="A37" s="28"/>
      <c r="B37" s="29" t="s">
        <v>189</v>
      </c>
      <c r="C37" s="30">
        <f>SUM(C3:C36)</f>
        <v>521504667</v>
      </c>
      <c r="D37" s="30">
        <f>SUM(D3:D36)</f>
        <v>398230012</v>
      </c>
      <c r="E37" s="30">
        <f>SUM(E3:E36)</f>
        <v>557852401</v>
      </c>
      <c r="F37" s="31">
        <f t="shared" si="0"/>
        <v>106.96978115442252</v>
      </c>
      <c r="G37" s="31">
        <f t="shared" si="1"/>
        <v>76.36173503314018</v>
      </c>
    </row>
  </sheetData>
  <printOptions/>
  <pageMargins left="0.41" right="0.17" top="1.02" bottom="0.18" header="0.38" footer="0.18"/>
  <pageSetup firstPageNumber="24" useFirstPageNumber="1" horizontalDpi="360" verticalDpi="360" orientation="portrait" paperSize="9" scale="90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7"/>
  <sheetViews>
    <sheetView workbookViewId="0" topLeftCell="A1">
      <pane xSplit="2" ySplit="2" topLeftCell="C3" activePane="bottomRight" state="frozen"/>
      <selection pane="topLeft" activeCell="F1" sqref="F1:G2"/>
      <selection pane="topRight" activeCell="F1" sqref="F1:G2"/>
      <selection pane="bottomLeft" activeCell="F1" sqref="F1:G2"/>
      <selection pane="bottomRight" activeCell="C3" sqref="C3"/>
    </sheetView>
  </sheetViews>
  <sheetFormatPr defaultColWidth="9.00390625" defaultRowHeight="18" customHeight="1"/>
  <cols>
    <col min="1" max="1" width="7.00390625" style="85" customWidth="1"/>
    <col min="2" max="2" width="43.25390625" style="18" customWidth="1"/>
    <col min="3" max="3" width="12.625" style="20" bestFit="1" customWidth="1"/>
    <col min="4" max="4" width="12.875" style="20" bestFit="1" customWidth="1"/>
    <col min="5" max="5" width="12.625" style="20" bestFit="1" customWidth="1"/>
    <col min="6" max="6" width="8.875" style="86" bestFit="1" customWidth="1"/>
    <col min="7" max="7" width="9.125" style="86" bestFit="1" customWidth="1"/>
    <col min="8" max="8" width="10.125" style="2" bestFit="1" customWidth="1"/>
    <col min="9" max="16384" width="9.125" style="2" customWidth="1"/>
  </cols>
  <sheetData>
    <row r="1" spans="1:7" ht="18" customHeight="1">
      <c r="A1" s="22" t="s">
        <v>29</v>
      </c>
      <c r="B1" s="23" t="s">
        <v>45</v>
      </c>
      <c r="C1" s="1" t="s">
        <v>325</v>
      </c>
      <c r="D1" s="111" t="s">
        <v>243</v>
      </c>
      <c r="E1" s="1" t="s">
        <v>326</v>
      </c>
      <c r="F1" s="121" t="s">
        <v>48</v>
      </c>
      <c r="G1" s="121" t="s">
        <v>48</v>
      </c>
    </row>
    <row r="2" spans="1:7" ht="18" customHeight="1" thickBot="1">
      <c r="A2" s="24" t="s">
        <v>28</v>
      </c>
      <c r="B2" s="25"/>
      <c r="C2" s="28">
        <v>2004</v>
      </c>
      <c r="D2" s="109">
        <v>38245</v>
      </c>
      <c r="E2" s="28">
        <v>2004</v>
      </c>
      <c r="F2" s="6" t="s">
        <v>327</v>
      </c>
      <c r="G2" s="6" t="s">
        <v>328</v>
      </c>
    </row>
    <row r="3" spans="1:7" ht="18" customHeight="1">
      <c r="A3" s="87"/>
      <c r="B3" s="88"/>
      <c r="C3" s="92"/>
      <c r="D3" s="92"/>
      <c r="E3" s="92"/>
      <c r="F3" s="93"/>
      <c r="G3" s="93"/>
    </row>
    <row r="4" spans="1:7" ht="18" customHeight="1">
      <c r="A4" s="7" t="s">
        <v>60</v>
      </c>
      <c r="B4" s="11" t="s">
        <v>255</v>
      </c>
      <c r="C4" s="69">
        <f>2000000+500000</f>
        <v>2500000</v>
      </c>
      <c r="D4" s="69">
        <v>1779381</v>
      </c>
      <c r="E4" s="69">
        <f>2000000+500000</f>
        <v>2500000</v>
      </c>
      <c r="F4" s="14">
        <f>IF(C4=0,"-",$E4/C4*100)</f>
        <v>100</v>
      </c>
      <c r="G4" s="14">
        <f>IF(C4=0,"-",$D4/C4*100)</f>
        <v>71.17524</v>
      </c>
    </row>
    <row r="5" spans="1:7" ht="18" customHeight="1">
      <c r="A5" s="7" t="s">
        <v>66</v>
      </c>
      <c r="B5" s="11" t="s">
        <v>256</v>
      </c>
      <c r="C5" s="69">
        <f>7000000-1000000</f>
        <v>6000000</v>
      </c>
      <c r="D5" s="69">
        <v>3633504</v>
      </c>
      <c r="E5" s="69">
        <f>7000000-1000000</f>
        <v>6000000</v>
      </c>
      <c r="F5" s="14">
        <f aca="true" t="shared" si="0" ref="F5:F17">IF(C5=0,"-",$E5/C5*100)</f>
        <v>100</v>
      </c>
      <c r="G5" s="14">
        <f aca="true" t="shared" si="1" ref="G5:G17">IF(C5=0,"-",$D5/C5*100)</f>
        <v>60.5584</v>
      </c>
    </row>
    <row r="6" spans="1:7" ht="18" customHeight="1">
      <c r="A6" s="7" t="s">
        <v>65</v>
      </c>
      <c r="B6" s="11" t="s">
        <v>257</v>
      </c>
      <c r="C6" s="69">
        <v>86000000</v>
      </c>
      <c r="D6" s="69">
        <v>57333335</v>
      </c>
      <c r="E6" s="69">
        <v>86000000</v>
      </c>
      <c r="F6" s="14">
        <f t="shared" si="0"/>
        <v>100</v>
      </c>
      <c r="G6" s="14">
        <f t="shared" si="1"/>
        <v>66.66666860465116</v>
      </c>
    </row>
    <row r="7" spans="1:7" ht="18" customHeight="1">
      <c r="A7" s="7" t="s">
        <v>64</v>
      </c>
      <c r="B7" s="11" t="s">
        <v>258</v>
      </c>
      <c r="C7" s="69">
        <f>6000000+5000000</f>
        <v>11000000</v>
      </c>
      <c r="D7" s="69">
        <v>8212725</v>
      </c>
      <c r="E7" s="69">
        <f>6000000+5000000</f>
        <v>11000000</v>
      </c>
      <c r="F7" s="14">
        <f t="shared" si="0"/>
        <v>100</v>
      </c>
      <c r="G7" s="14">
        <f t="shared" si="1"/>
        <v>74.66113636363636</v>
      </c>
    </row>
    <row r="8" spans="1:7" ht="18" customHeight="1">
      <c r="A8" s="7" t="s">
        <v>63</v>
      </c>
      <c r="B8" s="11" t="s">
        <v>259</v>
      </c>
      <c r="C8" s="69">
        <v>15000000</v>
      </c>
      <c r="D8" s="69">
        <v>10000005</v>
      </c>
      <c r="E8" s="69">
        <v>15000000</v>
      </c>
      <c r="F8" s="14">
        <f t="shared" si="0"/>
        <v>100</v>
      </c>
      <c r="G8" s="14">
        <f t="shared" si="1"/>
        <v>66.6667</v>
      </c>
    </row>
    <row r="9" spans="1:7" ht="18" customHeight="1">
      <c r="A9" s="7" t="s">
        <v>62</v>
      </c>
      <c r="B9" s="11" t="s">
        <v>260</v>
      </c>
      <c r="C9" s="69">
        <v>4000000</v>
      </c>
      <c r="D9" s="69">
        <v>3400000</v>
      </c>
      <c r="E9" s="69">
        <v>4000000</v>
      </c>
      <c r="F9" s="14">
        <f t="shared" si="0"/>
        <v>100</v>
      </c>
      <c r="G9" s="14">
        <f t="shared" si="1"/>
        <v>85</v>
      </c>
    </row>
    <row r="10" spans="1:7" s="94" customFormat="1" ht="18" customHeight="1">
      <c r="A10" s="7" t="s">
        <v>61</v>
      </c>
      <c r="B10" s="11" t="s">
        <v>296</v>
      </c>
      <c r="C10" s="69">
        <v>5000000</v>
      </c>
      <c r="D10" s="69">
        <v>0</v>
      </c>
      <c r="E10" s="69">
        <v>5000000</v>
      </c>
      <c r="F10" s="14">
        <f t="shared" si="0"/>
        <v>100</v>
      </c>
      <c r="G10" s="14">
        <f t="shared" si="1"/>
        <v>0</v>
      </c>
    </row>
    <row r="11" spans="1:7" ht="18" customHeight="1">
      <c r="A11" s="7" t="s">
        <v>61</v>
      </c>
      <c r="B11" s="11" t="s">
        <v>261</v>
      </c>
      <c r="C11" s="69">
        <f>5000000+500000</f>
        <v>5500000</v>
      </c>
      <c r="D11" s="69">
        <v>4791867</v>
      </c>
      <c r="E11" s="69">
        <f>5000000+500000</f>
        <v>5500000</v>
      </c>
      <c r="F11" s="14">
        <f t="shared" si="0"/>
        <v>100</v>
      </c>
      <c r="G11" s="14">
        <f t="shared" si="1"/>
        <v>87.12485454545454</v>
      </c>
    </row>
    <row r="12" spans="1:8" ht="18" customHeight="1">
      <c r="A12" s="7" t="s">
        <v>59</v>
      </c>
      <c r="B12" s="11" t="s">
        <v>181</v>
      </c>
      <c r="C12" s="69">
        <v>1600000</v>
      </c>
      <c r="D12" s="69">
        <v>1621038</v>
      </c>
      <c r="E12" s="69">
        <v>1621040</v>
      </c>
      <c r="F12" s="14">
        <f t="shared" si="0"/>
        <v>101.315</v>
      </c>
      <c r="G12" s="14">
        <f t="shared" si="1"/>
        <v>101.314875</v>
      </c>
      <c r="H12" s="95">
        <f>SUM(D12:D14)</f>
        <v>15153363</v>
      </c>
    </row>
    <row r="13" spans="1:7" ht="18" customHeight="1">
      <c r="A13" s="7" t="s">
        <v>59</v>
      </c>
      <c r="B13" s="11" t="s">
        <v>335</v>
      </c>
      <c r="C13" s="69">
        <v>4800000</v>
      </c>
      <c r="D13" s="69">
        <v>3105239</v>
      </c>
      <c r="E13" s="69">
        <v>4800000</v>
      </c>
      <c r="F13" s="14">
        <f t="shared" si="0"/>
        <v>100</v>
      </c>
      <c r="G13" s="14">
        <f t="shared" si="1"/>
        <v>64.69247916666667</v>
      </c>
    </row>
    <row r="14" spans="1:7" ht="18" customHeight="1">
      <c r="A14" s="7" t="s">
        <v>59</v>
      </c>
      <c r="B14" s="11" t="s">
        <v>269</v>
      </c>
      <c r="C14" s="69">
        <v>16000000</v>
      </c>
      <c r="D14" s="69">
        <v>10427086</v>
      </c>
      <c r="E14" s="69">
        <v>16000000</v>
      </c>
      <c r="F14" s="14">
        <f t="shared" si="0"/>
        <v>100</v>
      </c>
      <c r="G14" s="14">
        <f t="shared" si="1"/>
        <v>65.1692875</v>
      </c>
    </row>
    <row r="15" spans="1:7" ht="18" customHeight="1">
      <c r="A15" s="7" t="s">
        <v>58</v>
      </c>
      <c r="B15" s="11" t="s">
        <v>262</v>
      </c>
      <c r="C15" s="69">
        <v>25000000</v>
      </c>
      <c r="D15" s="69">
        <v>20864313</v>
      </c>
      <c r="E15" s="69">
        <v>25000000</v>
      </c>
      <c r="F15" s="14">
        <f t="shared" si="0"/>
        <v>100</v>
      </c>
      <c r="G15" s="14">
        <f t="shared" si="1"/>
        <v>83.45725200000001</v>
      </c>
    </row>
    <row r="16" spans="1:7" ht="18" customHeight="1">
      <c r="A16" s="13"/>
      <c r="B16" s="11"/>
      <c r="C16" s="69"/>
      <c r="D16" s="69"/>
      <c r="E16" s="69"/>
      <c r="F16" s="14"/>
      <c r="G16" s="14"/>
    </row>
    <row r="17" spans="1:7" ht="18" customHeight="1" thickBot="1">
      <c r="A17" s="70"/>
      <c r="B17" s="29" t="s">
        <v>189</v>
      </c>
      <c r="C17" s="96">
        <f>SUM(C4:C16)</f>
        <v>182400000</v>
      </c>
      <c r="D17" s="96">
        <f>SUM(D4:D16)</f>
        <v>125168493</v>
      </c>
      <c r="E17" s="96">
        <f>SUM(E4:E16)</f>
        <v>182421040</v>
      </c>
      <c r="F17" s="31">
        <f t="shared" si="0"/>
        <v>100.0115350877193</v>
      </c>
      <c r="G17" s="31">
        <f t="shared" si="1"/>
        <v>68.62307730263157</v>
      </c>
    </row>
    <row r="18" spans="3:7" ht="18" customHeight="1">
      <c r="C18" s="53"/>
      <c r="D18" s="53"/>
      <c r="E18" s="53"/>
      <c r="F18" s="54"/>
      <c r="G18" s="54"/>
    </row>
    <row r="19" spans="3:7" ht="18" customHeight="1">
      <c r="C19" s="19"/>
      <c r="D19" s="19"/>
      <c r="E19" s="19"/>
      <c r="F19" s="54"/>
      <c r="G19" s="54"/>
    </row>
    <row r="20" spans="6:7" ht="18" customHeight="1">
      <c r="F20" s="54"/>
      <c r="G20" s="54"/>
    </row>
    <row r="21" spans="6:7" ht="18" customHeight="1">
      <c r="F21" s="54"/>
      <c r="G21" s="54"/>
    </row>
    <row r="22" spans="6:7" ht="18" customHeight="1">
      <c r="F22" s="54"/>
      <c r="G22" s="54"/>
    </row>
    <row r="23" spans="6:7" ht="18" customHeight="1">
      <c r="F23" s="54"/>
      <c r="G23" s="54"/>
    </row>
    <row r="24" spans="6:7" ht="18" customHeight="1">
      <c r="F24" s="54"/>
      <c r="G24" s="54"/>
    </row>
    <row r="25" spans="6:7" ht="18" customHeight="1">
      <c r="F25" s="54"/>
      <c r="G25" s="54"/>
    </row>
    <row r="26" spans="6:7" ht="18" customHeight="1">
      <c r="F26" s="54"/>
      <c r="G26" s="54"/>
    </row>
    <row r="27" spans="6:7" ht="18" customHeight="1">
      <c r="F27" s="54"/>
      <c r="G27" s="54"/>
    </row>
    <row r="28" spans="6:7" ht="18" customHeight="1">
      <c r="F28" s="54"/>
      <c r="G28" s="54"/>
    </row>
    <row r="29" spans="6:7" ht="18" customHeight="1">
      <c r="F29" s="54"/>
      <c r="G29" s="54"/>
    </row>
    <row r="30" spans="6:7" ht="18" customHeight="1">
      <c r="F30" s="54"/>
      <c r="G30" s="54"/>
    </row>
    <row r="31" spans="6:7" ht="18" customHeight="1">
      <c r="F31" s="54"/>
      <c r="G31" s="54"/>
    </row>
    <row r="32" spans="6:7" ht="18" customHeight="1">
      <c r="F32" s="54"/>
      <c r="G32" s="54"/>
    </row>
    <row r="33" spans="6:7" ht="18" customHeight="1">
      <c r="F33" s="54"/>
      <c r="G33" s="54"/>
    </row>
    <row r="34" spans="6:7" ht="18" customHeight="1">
      <c r="F34" s="54"/>
      <c r="G34" s="54"/>
    </row>
    <row r="35" spans="6:7" ht="18" customHeight="1">
      <c r="F35" s="54"/>
      <c r="G35" s="54"/>
    </row>
    <row r="36" spans="6:7" ht="18" customHeight="1">
      <c r="F36" s="54"/>
      <c r="G36" s="54"/>
    </row>
    <row r="37" spans="6:7" ht="18" customHeight="1">
      <c r="F37" s="54"/>
      <c r="G37" s="54"/>
    </row>
    <row r="38" spans="6:7" ht="18" customHeight="1">
      <c r="F38" s="54"/>
      <c r="G38" s="54"/>
    </row>
    <row r="39" spans="6:7" ht="18" customHeight="1">
      <c r="F39" s="54"/>
      <c r="G39" s="54"/>
    </row>
    <row r="40" spans="6:7" ht="18" customHeight="1">
      <c r="F40" s="54"/>
      <c r="G40" s="54"/>
    </row>
    <row r="41" spans="6:7" ht="18" customHeight="1">
      <c r="F41" s="54"/>
      <c r="G41" s="54"/>
    </row>
    <row r="42" spans="6:7" ht="18" customHeight="1">
      <c r="F42" s="54"/>
      <c r="G42" s="54"/>
    </row>
    <row r="43" spans="6:7" ht="18" customHeight="1">
      <c r="F43" s="54"/>
      <c r="G43" s="54"/>
    </row>
    <row r="44" spans="6:7" ht="18" customHeight="1">
      <c r="F44" s="54"/>
      <c r="G44" s="54"/>
    </row>
    <row r="45" spans="6:7" ht="18" customHeight="1">
      <c r="F45" s="54"/>
      <c r="G45" s="54"/>
    </row>
    <row r="46" spans="6:7" ht="18" customHeight="1">
      <c r="F46" s="54"/>
      <c r="G46" s="54"/>
    </row>
    <row r="47" spans="6:7" ht="18" customHeight="1">
      <c r="F47" s="54"/>
      <c r="G47" s="54"/>
    </row>
    <row r="48" spans="6:7" ht="18" customHeight="1">
      <c r="F48" s="54"/>
      <c r="G48" s="54"/>
    </row>
    <row r="49" spans="6:7" ht="18" customHeight="1">
      <c r="F49" s="54"/>
      <c r="G49" s="54"/>
    </row>
    <row r="50" spans="6:7" ht="18" customHeight="1">
      <c r="F50" s="54"/>
      <c r="G50" s="54"/>
    </row>
    <row r="51" spans="6:7" ht="18" customHeight="1">
      <c r="F51" s="54"/>
      <c r="G51" s="54"/>
    </row>
    <row r="52" spans="6:7" ht="18" customHeight="1">
      <c r="F52" s="54"/>
      <c r="G52" s="54"/>
    </row>
    <row r="53" spans="6:7" ht="18" customHeight="1">
      <c r="F53" s="54"/>
      <c r="G53" s="54"/>
    </row>
    <row r="54" spans="6:7" ht="18" customHeight="1">
      <c r="F54" s="54"/>
      <c r="G54" s="54"/>
    </row>
    <row r="55" spans="6:7" ht="18" customHeight="1">
      <c r="F55" s="54"/>
      <c r="G55" s="54"/>
    </row>
    <row r="56" spans="6:7" ht="18" customHeight="1">
      <c r="F56" s="54"/>
      <c r="G56" s="54"/>
    </row>
    <row r="57" spans="6:7" ht="18" customHeight="1">
      <c r="F57" s="54"/>
      <c r="G57" s="54"/>
    </row>
    <row r="58" spans="6:7" ht="18" customHeight="1">
      <c r="F58" s="54"/>
      <c r="G58" s="54"/>
    </row>
    <row r="59" spans="6:7" ht="18" customHeight="1">
      <c r="F59" s="54"/>
      <c r="G59" s="54"/>
    </row>
    <row r="60" spans="6:7" ht="18" customHeight="1">
      <c r="F60" s="54"/>
      <c r="G60" s="54"/>
    </row>
    <row r="61" spans="6:7" ht="18" customHeight="1">
      <c r="F61" s="54"/>
      <c r="G61" s="54"/>
    </row>
    <row r="62" spans="6:7" ht="18" customHeight="1">
      <c r="F62" s="54"/>
      <c r="G62" s="54"/>
    </row>
    <row r="63" spans="6:7" ht="18" customHeight="1">
      <c r="F63" s="54"/>
      <c r="G63" s="54"/>
    </row>
    <row r="64" spans="6:7" ht="18" customHeight="1">
      <c r="F64" s="54"/>
      <c r="G64" s="54"/>
    </row>
    <row r="65" spans="6:7" ht="18" customHeight="1">
      <c r="F65" s="54"/>
      <c r="G65" s="54"/>
    </row>
    <row r="66" spans="6:7" ht="18" customHeight="1">
      <c r="F66" s="54"/>
      <c r="G66" s="54"/>
    </row>
    <row r="67" spans="6:7" ht="18" customHeight="1">
      <c r="F67" s="54"/>
      <c r="G67" s="54"/>
    </row>
    <row r="68" spans="6:7" ht="18" customHeight="1">
      <c r="F68" s="54"/>
      <c r="G68" s="54"/>
    </row>
    <row r="69" spans="6:7" ht="18" customHeight="1">
      <c r="F69" s="54"/>
      <c r="G69" s="54"/>
    </row>
    <row r="70" spans="6:7" ht="18" customHeight="1">
      <c r="F70" s="54"/>
      <c r="G70" s="54"/>
    </row>
    <row r="71" spans="6:7" ht="18" customHeight="1">
      <c r="F71" s="54"/>
      <c r="G71" s="54"/>
    </row>
    <row r="72" spans="6:7" ht="18" customHeight="1">
      <c r="F72" s="54"/>
      <c r="G72" s="54"/>
    </row>
    <row r="73" spans="6:7" ht="18" customHeight="1">
      <c r="F73" s="54"/>
      <c r="G73" s="54"/>
    </row>
    <row r="74" spans="6:7" ht="18" customHeight="1">
      <c r="F74" s="54"/>
      <c r="G74" s="54"/>
    </row>
    <row r="75" spans="6:7" ht="18" customHeight="1">
      <c r="F75" s="54"/>
      <c r="G75" s="54"/>
    </row>
    <row r="76" spans="6:7" ht="18" customHeight="1">
      <c r="F76" s="54"/>
      <c r="G76" s="54"/>
    </row>
    <row r="77" spans="6:7" ht="18" customHeight="1">
      <c r="F77" s="54"/>
      <c r="G77" s="54"/>
    </row>
    <row r="78" spans="6:7" ht="18" customHeight="1">
      <c r="F78" s="54"/>
      <c r="G78" s="54"/>
    </row>
    <row r="79" spans="6:7" ht="18" customHeight="1">
      <c r="F79" s="54"/>
      <c r="G79" s="54"/>
    </row>
    <row r="80" spans="6:7" ht="18" customHeight="1">
      <c r="F80" s="54"/>
      <c r="G80" s="54"/>
    </row>
    <row r="81" spans="6:7" ht="18" customHeight="1">
      <c r="F81" s="54"/>
      <c r="G81" s="54"/>
    </row>
    <row r="82" spans="6:7" ht="18" customHeight="1">
      <c r="F82" s="54"/>
      <c r="G82" s="54"/>
    </row>
    <row r="83" spans="6:7" ht="18" customHeight="1">
      <c r="F83" s="54"/>
      <c r="G83" s="54"/>
    </row>
    <row r="84" spans="6:7" ht="18" customHeight="1">
      <c r="F84" s="54"/>
      <c r="G84" s="54"/>
    </row>
    <row r="85" spans="6:7" ht="18" customHeight="1">
      <c r="F85" s="54"/>
      <c r="G85" s="54"/>
    </row>
    <row r="86" spans="6:7" ht="18" customHeight="1">
      <c r="F86" s="54"/>
      <c r="G86" s="54"/>
    </row>
    <row r="87" spans="6:7" ht="18" customHeight="1">
      <c r="F87" s="54"/>
      <c r="G87" s="54"/>
    </row>
    <row r="88" spans="6:7" ht="18" customHeight="1">
      <c r="F88" s="54"/>
      <c r="G88" s="54"/>
    </row>
    <row r="89" spans="6:7" ht="18" customHeight="1">
      <c r="F89" s="54"/>
      <c r="G89" s="54"/>
    </row>
    <row r="90" spans="6:7" ht="18" customHeight="1">
      <c r="F90" s="54"/>
      <c r="G90" s="54"/>
    </row>
    <row r="91" spans="6:7" ht="18" customHeight="1">
      <c r="F91" s="54"/>
      <c r="G91" s="54"/>
    </row>
    <row r="92" spans="6:7" ht="18" customHeight="1">
      <c r="F92" s="54"/>
      <c r="G92" s="54"/>
    </row>
    <row r="93" spans="6:7" ht="18" customHeight="1">
      <c r="F93" s="54"/>
      <c r="G93" s="54"/>
    </row>
    <row r="94" spans="6:7" ht="18" customHeight="1">
      <c r="F94" s="54"/>
      <c r="G94" s="54"/>
    </row>
    <row r="95" spans="6:7" ht="18" customHeight="1">
      <c r="F95" s="54"/>
      <c r="G95" s="54"/>
    </row>
    <row r="96" spans="6:7" ht="18" customHeight="1">
      <c r="F96" s="97"/>
      <c r="G96" s="97"/>
    </row>
    <row r="97" spans="6:7" ht="18" customHeight="1">
      <c r="F97" s="97"/>
      <c r="G97" s="97"/>
    </row>
    <row r="98" spans="6:7" ht="18" customHeight="1">
      <c r="F98" s="97"/>
      <c r="G98" s="97"/>
    </row>
    <row r="99" spans="6:7" ht="18" customHeight="1">
      <c r="F99" s="97"/>
      <c r="G99" s="97"/>
    </row>
    <row r="100" spans="6:7" ht="18" customHeight="1">
      <c r="F100" s="97"/>
      <c r="G100" s="97"/>
    </row>
    <row r="101" spans="6:7" ht="18" customHeight="1">
      <c r="F101" s="97"/>
      <c r="G101" s="97"/>
    </row>
    <row r="102" spans="6:7" ht="18" customHeight="1">
      <c r="F102" s="97"/>
      <c r="G102" s="97"/>
    </row>
    <row r="103" spans="6:7" ht="18" customHeight="1">
      <c r="F103" s="97"/>
      <c r="G103" s="97"/>
    </row>
    <row r="104" spans="6:7" ht="18" customHeight="1">
      <c r="F104" s="97"/>
      <c r="G104" s="97"/>
    </row>
    <row r="105" spans="6:7" ht="18" customHeight="1">
      <c r="F105" s="97"/>
      <c r="G105" s="97"/>
    </row>
    <row r="106" spans="6:7" ht="18" customHeight="1">
      <c r="F106" s="97"/>
      <c r="G106" s="97"/>
    </row>
    <row r="107" spans="6:7" ht="18" customHeight="1">
      <c r="F107" s="97"/>
      <c r="G107" s="97"/>
    </row>
    <row r="108" spans="6:7" ht="18" customHeight="1">
      <c r="F108" s="97"/>
      <c r="G108" s="97"/>
    </row>
    <row r="109" spans="6:7" ht="18" customHeight="1">
      <c r="F109" s="97"/>
      <c r="G109" s="97"/>
    </row>
    <row r="110" spans="6:7" ht="18" customHeight="1">
      <c r="F110" s="97"/>
      <c r="G110" s="97"/>
    </row>
    <row r="111" spans="6:7" ht="18" customHeight="1">
      <c r="F111" s="97"/>
      <c r="G111" s="97"/>
    </row>
    <row r="112" spans="6:7" ht="18" customHeight="1">
      <c r="F112" s="97"/>
      <c r="G112" s="97"/>
    </row>
    <row r="113" spans="6:7" ht="18" customHeight="1">
      <c r="F113" s="97"/>
      <c r="G113" s="97"/>
    </row>
    <row r="114" spans="6:7" ht="18" customHeight="1">
      <c r="F114" s="97"/>
      <c r="G114" s="97"/>
    </row>
    <row r="115" spans="6:7" ht="18" customHeight="1">
      <c r="F115" s="97"/>
      <c r="G115" s="97"/>
    </row>
    <row r="116" spans="6:7" ht="18" customHeight="1">
      <c r="F116" s="97"/>
      <c r="G116" s="97"/>
    </row>
    <row r="117" spans="6:7" ht="18" customHeight="1">
      <c r="F117" s="97"/>
      <c r="G117" s="97"/>
    </row>
    <row r="118" spans="6:7" ht="18" customHeight="1">
      <c r="F118" s="97"/>
      <c r="G118" s="97"/>
    </row>
    <row r="119" spans="6:7" ht="18" customHeight="1">
      <c r="F119" s="97"/>
      <c r="G119" s="97"/>
    </row>
    <row r="120" spans="6:7" ht="18" customHeight="1">
      <c r="F120" s="97"/>
      <c r="G120" s="97"/>
    </row>
    <row r="121" spans="6:7" ht="18" customHeight="1">
      <c r="F121" s="97"/>
      <c r="G121" s="97"/>
    </row>
    <row r="122" spans="6:7" ht="18" customHeight="1">
      <c r="F122" s="97"/>
      <c r="G122" s="97"/>
    </row>
    <row r="123" spans="6:7" ht="18" customHeight="1">
      <c r="F123" s="97"/>
      <c r="G123" s="97"/>
    </row>
    <row r="124" spans="6:7" ht="18" customHeight="1">
      <c r="F124" s="97"/>
      <c r="G124" s="97"/>
    </row>
    <row r="125" spans="6:7" ht="18" customHeight="1">
      <c r="F125" s="97"/>
      <c r="G125" s="97"/>
    </row>
    <row r="126" spans="6:7" ht="18" customHeight="1">
      <c r="F126" s="97"/>
      <c r="G126" s="97"/>
    </row>
    <row r="127" spans="6:7" ht="18" customHeight="1">
      <c r="F127" s="97"/>
      <c r="G127" s="97"/>
    </row>
    <row r="128" spans="6:7" ht="18" customHeight="1">
      <c r="F128" s="97"/>
      <c r="G128" s="97"/>
    </row>
    <row r="129" spans="6:7" ht="18" customHeight="1">
      <c r="F129" s="97"/>
      <c r="G129" s="97"/>
    </row>
    <row r="130" spans="6:7" ht="18" customHeight="1">
      <c r="F130" s="97"/>
      <c r="G130" s="97"/>
    </row>
    <row r="131" spans="6:7" ht="18" customHeight="1">
      <c r="F131" s="97"/>
      <c r="G131" s="97"/>
    </row>
    <row r="132" spans="6:7" ht="18" customHeight="1">
      <c r="F132" s="97"/>
      <c r="G132" s="97"/>
    </row>
    <row r="133" spans="6:7" ht="18" customHeight="1">
      <c r="F133" s="97"/>
      <c r="G133" s="97"/>
    </row>
    <row r="134" spans="6:7" ht="18" customHeight="1">
      <c r="F134" s="97"/>
      <c r="G134" s="97"/>
    </row>
    <row r="135" spans="6:7" ht="18" customHeight="1">
      <c r="F135" s="97"/>
      <c r="G135" s="97"/>
    </row>
    <row r="136" spans="6:7" ht="18" customHeight="1">
      <c r="F136" s="97"/>
      <c r="G136" s="97"/>
    </row>
    <row r="137" spans="6:7" ht="18" customHeight="1">
      <c r="F137" s="97"/>
      <c r="G137" s="97"/>
    </row>
    <row r="138" spans="6:7" ht="18" customHeight="1">
      <c r="F138" s="97"/>
      <c r="G138" s="97"/>
    </row>
    <row r="139" spans="6:7" ht="18" customHeight="1">
      <c r="F139" s="97"/>
      <c r="G139" s="97"/>
    </row>
    <row r="140" spans="6:7" ht="18" customHeight="1">
      <c r="F140" s="97"/>
      <c r="G140" s="97"/>
    </row>
    <row r="141" spans="6:7" ht="18" customHeight="1">
      <c r="F141" s="97"/>
      <c r="G141" s="97"/>
    </row>
    <row r="142" spans="6:7" ht="18" customHeight="1">
      <c r="F142" s="97"/>
      <c r="G142" s="97"/>
    </row>
    <row r="143" spans="6:7" ht="18" customHeight="1">
      <c r="F143" s="97"/>
      <c r="G143" s="97"/>
    </row>
    <row r="144" spans="6:7" ht="18" customHeight="1">
      <c r="F144" s="97"/>
      <c r="G144" s="97"/>
    </row>
    <row r="145" spans="6:7" ht="18" customHeight="1">
      <c r="F145" s="97"/>
      <c r="G145" s="97"/>
    </row>
    <row r="146" spans="6:7" ht="18" customHeight="1">
      <c r="F146" s="97"/>
      <c r="G146" s="97"/>
    </row>
    <row r="147" spans="6:7" ht="18" customHeight="1">
      <c r="F147" s="97"/>
      <c r="G147" s="97"/>
    </row>
    <row r="148" spans="6:7" ht="18" customHeight="1">
      <c r="F148" s="97"/>
      <c r="G148" s="97"/>
    </row>
    <row r="149" spans="6:7" ht="18" customHeight="1">
      <c r="F149" s="97"/>
      <c r="G149" s="97"/>
    </row>
    <row r="150" spans="6:7" ht="18" customHeight="1">
      <c r="F150" s="97"/>
      <c r="G150" s="97"/>
    </row>
    <row r="151" spans="6:7" ht="18" customHeight="1">
      <c r="F151" s="97"/>
      <c r="G151" s="97"/>
    </row>
    <row r="152" spans="6:7" ht="18" customHeight="1">
      <c r="F152" s="97"/>
      <c r="G152" s="97"/>
    </row>
    <row r="153" spans="6:7" ht="18" customHeight="1">
      <c r="F153" s="97"/>
      <c r="G153" s="97"/>
    </row>
    <row r="154" spans="6:7" ht="18" customHeight="1">
      <c r="F154" s="97"/>
      <c r="G154" s="97"/>
    </row>
    <row r="155" spans="6:7" ht="18" customHeight="1">
      <c r="F155" s="97"/>
      <c r="G155" s="97"/>
    </row>
    <row r="156" spans="6:7" ht="18" customHeight="1">
      <c r="F156" s="97"/>
      <c r="G156" s="97"/>
    </row>
    <row r="157" spans="6:7" ht="18" customHeight="1">
      <c r="F157" s="97"/>
      <c r="G157" s="97"/>
    </row>
    <row r="158" spans="6:7" ht="18" customHeight="1">
      <c r="F158" s="97"/>
      <c r="G158" s="97"/>
    </row>
    <row r="159" spans="6:7" ht="18" customHeight="1">
      <c r="F159" s="97"/>
      <c r="G159" s="97"/>
    </row>
    <row r="160" spans="6:7" ht="18" customHeight="1">
      <c r="F160" s="97"/>
      <c r="G160" s="97"/>
    </row>
    <row r="161" spans="6:7" ht="18" customHeight="1">
      <c r="F161" s="97"/>
      <c r="G161" s="97"/>
    </row>
    <row r="162" spans="6:7" ht="18" customHeight="1">
      <c r="F162" s="97"/>
      <c r="G162" s="97"/>
    </row>
    <row r="163" spans="6:7" ht="18" customHeight="1">
      <c r="F163" s="97"/>
      <c r="G163" s="97"/>
    </row>
    <row r="164" spans="6:7" ht="18" customHeight="1">
      <c r="F164" s="97"/>
      <c r="G164" s="97"/>
    </row>
    <row r="165" spans="6:7" ht="18" customHeight="1">
      <c r="F165" s="97"/>
      <c r="G165" s="97"/>
    </row>
    <row r="166" spans="6:7" ht="18" customHeight="1">
      <c r="F166" s="97"/>
      <c r="G166" s="97"/>
    </row>
    <row r="167" spans="6:7" ht="18" customHeight="1">
      <c r="F167" s="97"/>
      <c r="G167" s="97"/>
    </row>
    <row r="168" spans="6:7" ht="18" customHeight="1">
      <c r="F168" s="97"/>
      <c r="G168" s="97"/>
    </row>
    <row r="169" spans="6:7" ht="18" customHeight="1">
      <c r="F169" s="97"/>
      <c r="G169" s="97"/>
    </row>
    <row r="170" spans="6:7" ht="18" customHeight="1">
      <c r="F170" s="97"/>
      <c r="G170" s="97"/>
    </row>
    <row r="171" spans="6:7" ht="18" customHeight="1">
      <c r="F171" s="97"/>
      <c r="G171" s="97"/>
    </row>
    <row r="172" spans="6:7" ht="18" customHeight="1">
      <c r="F172" s="97"/>
      <c r="G172" s="97"/>
    </row>
    <row r="173" spans="6:7" ht="18" customHeight="1">
      <c r="F173" s="97"/>
      <c r="G173" s="97"/>
    </row>
    <row r="174" spans="6:7" ht="18" customHeight="1">
      <c r="F174" s="97"/>
      <c r="G174" s="97"/>
    </row>
    <row r="175" spans="6:7" ht="18" customHeight="1">
      <c r="F175" s="97"/>
      <c r="G175" s="97"/>
    </row>
    <row r="176" spans="6:7" ht="18" customHeight="1">
      <c r="F176" s="97"/>
      <c r="G176" s="97"/>
    </row>
    <row r="177" spans="6:7" ht="18" customHeight="1">
      <c r="F177" s="97"/>
      <c r="G177" s="97"/>
    </row>
    <row r="178" spans="6:7" ht="18" customHeight="1">
      <c r="F178" s="97"/>
      <c r="G178" s="97"/>
    </row>
    <row r="179" spans="6:7" ht="18" customHeight="1">
      <c r="F179" s="97"/>
      <c r="G179" s="97"/>
    </row>
    <row r="180" spans="6:7" ht="18" customHeight="1">
      <c r="F180" s="97"/>
      <c r="G180" s="97"/>
    </row>
    <row r="181" spans="6:7" ht="18" customHeight="1">
      <c r="F181" s="97"/>
      <c r="G181" s="97"/>
    </row>
    <row r="182" spans="6:7" ht="18" customHeight="1">
      <c r="F182" s="97"/>
      <c r="G182" s="97"/>
    </row>
    <row r="183" spans="6:7" ht="18" customHeight="1">
      <c r="F183" s="97"/>
      <c r="G183" s="97"/>
    </row>
    <row r="184" spans="6:7" ht="18" customHeight="1">
      <c r="F184" s="97"/>
      <c r="G184" s="97"/>
    </row>
    <row r="185" spans="6:7" ht="18" customHeight="1">
      <c r="F185" s="97"/>
      <c r="G185" s="97"/>
    </row>
    <row r="186" spans="6:7" ht="18" customHeight="1">
      <c r="F186" s="97"/>
      <c r="G186" s="97"/>
    </row>
    <row r="187" spans="6:7" ht="18" customHeight="1">
      <c r="F187" s="97"/>
      <c r="G187" s="97"/>
    </row>
    <row r="188" spans="6:7" ht="18" customHeight="1">
      <c r="F188" s="97"/>
      <c r="G188" s="97"/>
    </row>
    <row r="189" spans="6:7" ht="18" customHeight="1">
      <c r="F189" s="97"/>
      <c r="G189" s="97"/>
    </row>
    <row r="190" spans="6:7" ht="18" customHeight="1">
      <c r="F190" s="97"/>
      <c r="G190" s="97"/>
    </row>
    <row r="191" spans="6:7" ht="18" customHeight="1">
      <c r="F191" s="97"/>
      <c r="G191" s="97"/>
    </row>
    <row r="192" spans="6:7" ht="18" customHeight="1">
      <c r="F192" s="97"/>
      <c r="G192" s="97"/>
    </row>
    <row r="193" spans="6:7" ht="18" customHeight="1">
      <c r="F193" s="97"/>
      <c r="G193" s="97"/>
    </row>
    <row r="194" spans="6:7" ht="18" customHeight="1">
      <c r="F194" s="97"/>
      <c r="G194" s="97"/>
    </row>
    <row r="195" spans="6:7" ht="18" customHeight="1">
      <c r="F195" s="97"/>
      <c r="G195" s="97"/>
    </row>
    <row r="196" spans="6:7" ht="18" customHeight="1">
      <c r="F196" s="97"/>
      <c r="G196" s="97"/>
    </row>
    <row r="197" spans="6:7" ht="18" customHeight="1">
      <c r="F197" s="97"/>
      <c r="G197" s="97"/>
    </row>
    <row r="198" spans="6:7" ht="18" customHeight="1">
      <c r="F198" s="97"/>
      <c r="G198" s="97"/>
    </row>
    <row r="199" spans="6:7" ht="18" customHeight="1">
      <c r="F199" s="97"/>
      <c r="G199" s="97"/>
    </row>
    <row r="200" spans="6:7" ht="18" customHeight="1">
      <c r="F200" s="97"/>
      <c r="G200" s="97"/>
    </row>
    <row r="201" spans="6:7" ht="18" customHeight="1">
      <c r="F201" s="97"/>
      <c r="G201" s="97"/>
    </row>
    <row r="202" spans="6:7" ht="18" customHeight="1">
      <c r="F202" s="97"/>
      <c r="G202" s="97"/>
    </row>
    <row r="203" spans="6:7" ht="18" customHeight="1">
      <c r="F203" s="97"/>
      <c r="G203" s="97"/>
    </row>
    <row r="204" spans="6:7" ht="18" customHeight="1">
      <c r="F204" s="97"/>
      <c r="G204" s="97"/>
    </row>
    <row r="205" spans="6:7" ht="18" customHeight="1">
      <c r="F205" s="97"/>
      <c r="G205" s="97"/>
    </row>
    <row r="206" spans="6:7" ht="18" customHeight="1">
      <c r="F206" s="97"/>
      <c r="G206" s="97"/>
    </row>
    <row r="207" spans="6:7" ht="18" customHeight="1">
      <c r="F207" s="97"/>
      <c r="G207" s="97"/>
    </row>
    <row r="208" spans="6:7" ht="18" customHeight="1">
      <c r="F208" s="97"/>
      <c r="G208" s="97"/>
    </row>
    <row r="209" spans="6:7" ht="18" customHeight="1">
      <c r="F209" s="97"/>
      <c r="G209" s="97"/>
    </row>
    <row r="210" spans="6:7" ht="18" customHeight="1">
      <c r="F210" s="97"/>
      <c r="G210" s="97"/>
    </row>
    <row r="211" spans="6:7" ht="18" customHeight="1">
      <c r="F211" s="97"/>
      <c r="G211" s="97"/>
    </row>
    <row r="212" spans="6:7" ht="18" customHeight="1">
      <c r="F212" s="97"/>
      <c r="G212" s="97"/>
    </row>
    <row r="213" spans="6:7" ht="18" customHeight="1">
      <c r="F213" s="97"/>
      <c r="G213" s="97"/>
    </row>
    <row r="214" spans="6:7" ht="18" customHeight="1">
      <c r="F214" s="97"/>
      <c r="G214" s="97"/>
    </row>
    <row r="215" spans="6:7" ht="18" customHeight="1">
      <c r="F215" s="97"/>
      <c r="G215" s="97"/>
    </row>
    <row r="216" spans="6:7" ht="18" customHeight="1">
      <c r="F216" s="97"/>
      <c r="G216" s="97"/>
    </row>
    <row r="217" spans="6:7" ht="18" customHeight="1">
      <c r="F217" s="97"/>
      <c r="G217" s="97"/>
    </row>
    <row r="218" spans="6:7" ht="18" customHeight="1">
      <c r="F218" s="97"/>
      <c r="G218" s="97"/>
    </row>
    <row r="219" spans="6:7" ht="18" customHeight="1">
      <c r="F219" s="97"/>
      <c r="G219" s="97"/>
    </row>
    <row r="220" spans="6:7" ht="18" customHeight="1">
      <c r="F220" s="97"/>
      <c r="G220" s="97"/>
    </row>
    <row r="221" spans="6:7" ht="18" customHeight="1">
      <c r="F221" s="97"/>
      <c r="G221" s="97"/>
    </row>
    <row r="222" spans="6:7" ht="18" customHeight="1">
      <c r="F222" s="97"/>
      <c r="G222" s="97"/>
    </row>
    <row r="223" spans="6:7" ht="18" customHeight="1">
      <c r="F223" s="97"/>
      <c r="G223" s="97"/>
    </row>
    <row r="224" spans="6:7" ht="18" customHeight="1">
      <c r="F224" s="97"/>
      <c r="G224" s="97"/>
    </row>
    <row r="225" spans="6:7" ht="18" customHeight="1">
      <c r="F225" s="97"/>
      <c r="G225" s="97"/>
    </row>
    <row r="226" spans="6:7" ht="18" customHeight="1">
      <c r="F226" s="97"/>
      <c r="G226" s="97"/>
    </row>
    <row r="227" spans="6:7" ht="18" customHeight="1">
      <c r="F227" s="97"/>
      <c r="G227" s="97"/>
    </row>
    <row r="228" spans="6:7" ht="18" customHeight="1">
      <c r="F228" s="97"/>
      <c r="G228" s="97"/>
    </row>
    <row r="229" spans="6:7" ht="18" customHeight="1">
      <c r="F229" s="97"/>
      <c r="G229" s="97"/>
    </row>
    <row r="230" spans="6:7" ht="18" customHeight="1">
      <c r="F230" s="97"/>
      <c r="G230" s="97"/>
    </row>
    <row r="231" spans="6:7" ht="18" customHeight="1">
      <c r="F231" s="97"/>
      <c r="G231" s="97"/>
    </row>
    <row r="232" spans="6:7" ht="18" customHeight="1">
      <c r="F232" s="97"/>
      <c r="G232" s="97"/>
    </row>
    <row r="233" spans="6:7" ht="18" customHeight="1">
      <c r="F233" s="97"/>
      <c r="G233" s="97"/>
    </row>
    <row r="234" spans="6:7" ht="18" customHeight="1">
      <c r="F234" s="97"/>
      <c r="G234" s="97"/>
    </row>
    <row r="235" spans="6:7" ht="18" customHeight="1">
      <c r="F235" s="97"/>
      <c r="G235" s="97"/>
    </row>
    <row r="236" spans="6:7" ht="18" customHeight="1">
      <c r="F236" s="97"/>
      <c r="G236" s="97"/>
    </row>
    <row r="237" spans="6:7" ht="18" customHeight="1">
      <c r="F237" s="97"/>
      <c r="G237" s="97"/>
    </row>
    <row r="238" spans="6:7" ht="18" customHeight="1">
      <c r="F238" s="97"/>
      <c r="G238" s="97"/>
    </row>
    <row r="239" spans="6:7" ht="18" customHeight="1">
      <c r="F239" s="97"/>
      <c r="G239" s="97"/>
    </row>
    <row r="240" spans="6:7" ht="18" customHeight="1">
      <c r="F240" s="97"/>
      <c r="G240" s="97"/>
    </row>
    <row r="241" spans="6:7" ht="18" customHeight="1">
      <c r="F241" s="97"/>
      <c r="G241" s="97"/>
    </row>
    <row r="242" spans="6:7" ht="18" customHeight="1">
      <c r="F242" s="97"/>
      <c r="G242" s="97"/>
    </row>
    <row r="243" spans="6:7" ht="18" customHeight="1">
      <c r="F243" s="97"/>
      <c r="G243" s="97"/>
    </row>
    <row r="244" spans="6:7" ht="18" customHeight="1">
      <c r="F244" s="97"/>
      <c r="G244" s="97"/>
    </row>
    <row r="245" spans="6:7" ht="18" customHeight="1">
      <c r="F245" s="97"/>
      <c r="G245" s="97"/>
    </row>
    <row r="246" spans="6:7" ht="18" customHeight="1">
      <c r="F246" s="97"/>
      <c r="G246" s="97"/>
    </row>
    <row r="247" spans="6:7" ht="18" customHeight="1">
      <c r="F247" s="97"/>
      <c r="G247" s="97"/>
    </row>
    <row r="248" spans="6:7" ht="18" customHeight="1">
      <c r="F248" s="97"/>
      <c r="G248" s="97"/>
    </row>
    <row r="249" spans="6:7" ht="18" customHeight="1">
      <c r="F249" s="97"/>
      <c r="G249" s="97"/>
    </row>
    <row r="250" spans="6:7" ht="18" customHeight="1">
      <c r="F250" s="97"/>
      <c r="G250" s="97"/>
    </row>
    <row r="251" spans="6:7" ht="18" customHeight="1">
      <c r="F251" s="97"/>
      <c r="G251" s="97"/>
    </row>
    <row r="252" spans="6:7" ht="18" customHeight="1">
      <c r="F252" s="97"/>
      <c r="G252" s="97"/>
    </row>
    <row r="253" spans="6:7" ht="18" customHeight="1">
      <c r="F253" s="97"/>
      <c r="G253" s="97"/>
    </row>
    <row r="254" spans="6:7" ht="18" customHeight="1">
      <c r="F254" s="97"/>
      <c r="G254" s="97"/>
    </row>
    <row r="255" spans="6:7" ht="18" customHeight="1">
      <c r="F255" s="97"/>
      <c r="G255" s="97"/>
    </row>
    <row r="256" spans="6:7" ht="18" customHeight="1">
      <c r="F256" s="97"/>
      <c r="G256" s="97"/>
    </row>
    <row r="257" spans="6:7" ht="18" customHeight="1">
      <c r="F257" s="97"/>
      <c r="G257" s="97"/>
    </row>
    <row r="258" spans="6:7" ht="18" customHeight="1">
      <c r="F258" s="97"/>
      <c r="G258" s="97"/>
    </row>
    <row r="259" spans="6:7" ht="18" customHeight="1">
      <c r="F259" s="97"/>
      <c r="G259" s="97"/>
    </row>
    <row r="260" spans="6:7" ht="18" customHeight="1">
      <c r="F260" s="97"/>
      <c r="G260" s="97"/>
    </row>
    <row r="261" spans="6:7" ht="18" customHeight="1">
      <c r="F261" s="97"/>
      <c r="G261" s="97"/>
    </row>
    <row r="262" spans="6:7" ht="18" customHeight="1">
      <c r="F262" s="97"/>
      <c r="G262" s="97"/>
    </row>
    <row r="263" spans="6:7" ht="18" customHeight="1">
      <c r="F263" s="97"/>
      <c r="G263" s="97"/>
    </row>
    <row r="264" spans="6:7" ht="18" customHeight="1">
      <c r="F264" s="97"/>
      <c r="G264" s="97"/>
    </row>
    <row r="265" spans="6:7" ht="18" customHeight="1">
      <c r="F265" s="97"/>
      <c r="G265" s="97"/>
    </row>
    <row r="266" spans="6:7" ht="18" customHeight="1">
      <c r="F266" s="97"/>
      <c r="G266" s="97"/>
    </row>
    <row r="267" spans="6:7" ht="18" customHeight="1">
      <c r="F267" s="97"/>
      <c r="G267" s="97"/>
    </row>
    <row r="268" spans="6:7" ht="18" customHeight="1">
      <c r="F268" s="97"/>
      <c r="G268" s="97"/>
    </row>
    <row r="269" spans="6:7" ht="18" customHeight="1">
      <c r="F269" s="97"/>
      <c r="G269" s="97"/>
    </row>
    <row r="270" spans="6:7" ht="18" customHeight="1">
      <c r="F270" s="97"/>
      <c r="G270" s="97"/>
    </row>
    <row r="271" spans="6:7" ht="18" customHeight="1">
      <c r="F271" s="97"/>
      <c r="G271" s="97"/>
    </row>
    <row r="272" spans="6:7" ht="18" customHeight="1">
      <c r="F272" s="97"/>
      <c r="G272" s="97"/>
    </row>
    <row r="273" spans="6:7" ht="18" customHeight="1">
      <c r="F273" s="97"/>
      <c r="G273" s="97"/>
    </row>
    <row r="274" spans="6:7" ht="18" customHeight="1">
      <c r="F274" s="97"/>
      <c r="G274" s="97"/>
    </row>
    <row r="275" spans="6:7" ht="18" customHeight="1">
      <c r="F275" s="97"/>
      <c r="G275" s="97"/>
    </row>
    <row r="276" spans="6:7" ht="18" customHeight="1">
      <c r="F276" s="97"/>
      <c r="G276" s="97"/>
    </row>
    <row r="277" spans="6:7" ht="18" customHeight="1">
      <c r="F277" s="97"/>
      <c r="G277" s="97"/>
    </row>
    <row r="278" spans="6:7" ht="18" customHeight="1">
      <c r="F278" s="97"/>
      <c r="G278" s="97"/>
    </row>
    <row r="279" spans="6:7" ht="18" customHeight="1">
      <c r="F279" s="97"/>
      <c r="G279" s="97"/>
    </row>
    <row r="280" spans="6:7" ht="18" customHeight="1">
      <c r="F280" s="97"/>
      <c r="G280" s="97"/>
    </row>
    <row r="281" spans="6:7" ht="18" customHeight="1">
      <c r="F281" s="97"/>
      <c r="G281" s="97"/>
    </row>
    <row r="282" spans="6:7" ht="18" customHeight="1">
      <c r="F282" s="97"/>
      <c r="G282" s="97"/>
    </row>
    <row r="283" spans="6:7" ht="18" customHeight="1">
      <c r="F283" s="97"/>
      <c r="G283" s="97"/>
    </row>
    <row r="284" spans="6:7" ht="18" customHeight="1">
      <c r="F284" s="97"/>
      <c r="G284" s="97"/>
    </row>
    <row r="285" spans="6:7" ht="18" customHeight="1">
      <c r="F285" s="97"/>
      <c r="G285" s="97"/>
    </row>
    <row r="286" spans="6:7" ht="18" customHeight="1">
      <c r="F286" s="97"/>
      <c r="G286" s="97"/>
    </row>
    <row r="287" spans="6:7" ht="18" customHeight="1">
      <c r="F287" s="97"/>
      <c r="G287" s="97"/>
    </row>
    <row r="288" spans="6:7" ht="18" customHeight="1">
      <c r="F288" s="97"/>
      <c r="G288" s="97"/>
    </row>
    <row r="289" spans="6:7" ht="18" customHeight="1">
      <c r="F289" s="97"/>
      <c r="G289" s="97"/>
    </row>
    <row r="290" spans="6:7" ht="18" customHeight="1">
      <c r="F290" s="97"/>
      <c r="G290" s="97"/>
    </row>
    <row r="291" spans="6:7" ht="18" customHeight="1">
      <c r="F291" s="97"/>
      <c r="G291" s="97"/>
    </row>
    <row r="292" spans="6:7" ht="18" customHeight="1">
      <c r="F292" s="97"/>
      <c r="G292" s="97"/>
    </row>
    <row r="293" spans="6:7" ht="18" customHeight="1">
      <c r="F293" s="97"/>
      <c r="G293" s="97"/>
    </row>
    <row r="294" spans="6:7" ht="18" customHeight="1">
      <c r="F294" s="97"/>
      <c r="G294" s="97"/>
    </row>
    <row r="295" spans="6:7" ht="18" customHeight="1">
      <c r="F295" s="97"/>
      <c r="G295" s="97"/>
    </row>
    <row r="296" spans="6:7" ht="18" customHeight="1">
      <c r="F296" s="97"/>
      <c r="G296" s="97"/>
    </row>
    <row r="297" spans="6:7" ht="18" customHeight="1">
      <c r="F297" s="97"/>
      <c r="G297" s="97"/>
    </row>
    <row r="298" spans="6:7" ht="18" customHeight="1">
      <c r="F298" s="97"/>
      <c r="G298" s="97"/>
    </row>
    <row r="299" spans="6:7" ht="18" customHeight="1">
      <c r="F299" s="97"/>
      <c r="G299" s="97"/>
    </row>
    <row r="300" spans="6:7" ht="18" customHeight="1">
      <c r="F300" s="97"/>
      <c r="G300" s="97"/>
    </row>
    <row r="301" spans="6:7" ht="18" customHeight="1">
      <c r="F301" s="97"/>
      <c r="G301" s="97"/>
    </row>
    <row r="302" spans="6:7" ht="18" customHeight="1">
      <c r="F302" s="97"/>
      <c r="G302" s="97"/>
    </row>
    <row r="303" spans="6:7" ht="18" customHeight="1">
      <c r="F303" s="97"/>
      <c r="G303" s="97"/>
    </row>
    <row r="304" spans="6:7" ht="18" customHeight="1">
      <c r="F304" s="97"/>
      <c r="G304" s="97"/>
    </row>
    <row r="305" spans="6:7" ht="18" customHeight="1">
      <c r="F305" s="97"/>
      <c r="G305" s="97"/>
    </row>
    <row r="306" spans="6:7" ht="18" customHeight="1">
      <c r="F306" s="97"/>
      <c r="G306" s="97"/>
    </row>
    <row r="307" spans="6:7" ht="18" customHeight="1">
      <c r="F307" s="97"/>
      <c r="G307" s="97"/>
    </row>
    <row r="308" spans="6:7" ht="18" customHeight="1">
      <c r="F308" s="97"/>
      <c r="G308" s="97"/>
    </row>
    <row r="309" spans="6:7" ht="18" customHeight="1">
      <c r="F309" s="97"/>
      <c r="G309" s="97"/>
    </row>
    <row r="310" spans="6:7" ht="18" customHeight="1">
      <c r="F310" s="97"/>
      <c r="G310" s="97"/>
    </row>
    <row r="311" spans="6:7" ht="18" customHeight="1">
      <c r="F311" s="97"/>
      <c r="G311" s="97"/>
    </row>
    <row r="312" spans="6:7" ht="18" customHeight="1">
      <c r="F312" s="97"/>
      <c r="G312" s="97"/>
    </row>
    <row r="313" spans="6:7" ht="18" customHeight="1">
      <c r="F313" s="97"/>
      <c r="G313" s="97"/>
    </row>
    <row r="314" spans="6:7" ht="18" customHeight="1">
      <c r="F314" s="97"/>
      <c r="G314" s="97"/>
    </row>
    <row r="315" spans="6:7" ht="18" customHeight="1">
      <c r="F315" s="97"/>
      <c r="G315" s="97"/>
    </row>
    <row r="316" spans="6:7" ht="18" customHeight="1">
      <c r="F316" s="97"/>
      <c r="G316" s="97"/>
    </row>
    <row r="317" spans="6:7" ht="18" customHeight="1">
      <c r="F317" s="97"/>
      <c r="G317" s="97"/>
    </row>
    <row r="318" spans="6:7" ht="18" customHeight="1">
      <c r="F318" s="97"/>
      <c r="G318" s="97"/>
    </row>
    <row r="319" spans="6:7" ht="18" customHeight="1">
      <c r="F319" s="97"/>
      <c r="G319" s="97"/>
    </row>
    <row r="320" spans="6:7" ht="18" customHeight="1">
      <c r="F320" s="97"/>
      <c r="G320" s="97"/>
    </row>
    <row r="321" spans="6:7" ht="18" customHeight="1">
      <c r="F321" s="97"/>
      <c r="G321" s="97"/>
    </row>
    <row r="322" spans="6:7" ht="18" customHeight="1">
      <c r="F322" s="97"/>
      <c r="G322" s="97"/>
    </row>
    <row r="323" spans="6:7" ht="18" customHeight="1">
      <c r="F323" s="97"/>
      <c r="G323" s="97"/>
    </row>
    <row r="324" spans="6:7" ht="18" customHeight="1">
      <c r="F324" s="97"/>
      <c r="G324" s="97"/>
    </row>
    <row r="325" spans="6:7" ht="18" customHeight="1">
      <c r="F325" s="97"/>
      <c r="G325" s="97"/>
    </row>
    <row r="326" spans="6:7" ht="18" customHeight="1">
      <c r="F326" s="97"/>
      <c r="G326" s="97"/>
    </row>
    <row r="327" spans="6:7" ht="18" customHeight="1">
      <c r="F327" s="97"/>
      <c r="G327" s="97"/>
    </row>
    <row r="328" spans="6:7" ht="18" customHeight="1">
      <c r="F328" s="97"/>
      <c r="G328" s="97"/>
    </row>
    <row r="329" spans="6:7" ht="18" customHeight="1">
      <c r="F329" s="97"/>
      <c r="G329" s="97"/>
    </row>
    <row r="330" spans="6:7" ht="18" customHeight="1">
      <c r="F330" s="97"/>
      <c r="G330" s="97"/>
    </row>
    <row r="331" spans="6:7" ht="18" customHeight="1">
      <c r="F331" s="97"/>
      <c r="G331" s="97"/>
    </row>
    <row r="332" spans="6:7" ht="18" customHeight="1">
      <c r="F332" s="97"/>
      <c r="G332" s="97"/>
    </row>
    <row r="333" spans="6:7" ht="18" customHeight="1">
      <c r="F333" s="97"/>
      <c r="G333" s="97"/>
    </row>
    <row r="334" spans="6:7" ht="18" customHeight="1">
      <c r="F334" s="97"/>
      <c r="G334" s="97"/>
    </row>
    <row r="335" spans="6:7" ht="18" customHeight="1">
      <c r="F335" s="97"/>
      <c r="G335" s="97"/>
    </row>
    <row r="336" spans="6:7" ht="18" customHeight="1">
      <c r="F336" s="97"/>
      <c r="G336" s="97"/>
    </row>
    <row r="337" spans="6:7" ht="18" customHeight="1">
      <c r="F337" s="97"/>
      <c r="G337" s="97"/>
    </row>
    <row r="338" spans="6:7" ht="18" customHeight="1">
      <c r="F338" s="97"/>
      <c r="G338" s="97"/>
    </row>
    <row r="339" spans="6:7" ht="18" customHeight="1">
      <c r="F339" s="97"/>
      <c r="G339" s="97"/>
    </row>
    <row r="340" spans="6:7" ht="18" customHeight="1">
      <c r="F340" s="97"/>
      <c r="G340" s="97"/>
    </row>
    <row r="341" spans="6:7" ht="18" customHeight="1">
      <c r="F341" s="97"/>
      <c r="G341" s="97"/>
    </row>
    <row r="342" spans="6:7" ht="18" customHeight="1">
      <c r="F342" s="97"/>
      <c r="G342" s="97"/>
    </row>
    <row r="343" spans="6:7" ht="18" customHeight="1">
      <c r="F343" s="97"/>
      <c r="G343" s="97"/>
    </row>
    <row r="344" spans="6:7" ht="18" customHeight="1">
      <c r="F344" s="97"/>
      <c r="G344" s="97"/>
    </row>
    <row r="345" spans="6:7" ht="18" customHeight="1">
      <c r="F345" s="97"/>
      <c r="G345" s="97"/>
    </row>
    <row r="346" spans="6:7" ht="18" customHeight="1">
      <c r="F346" s="97"/>
      <c r="G346" s="97"/>
    </row>
    <row r="347" spans="6:7" ht="18" customHeight="1">
      <c r="F347" s="97"/>
      <c r="G347" s="97"/>
    </row>
    <row r="348" spans="6:7" ht="18" customHeight="1">
      <c r="F348" s="97"/>
      <c r="G348" s="97"/>
    </row>
    <row r="349" spans="6:7" ht="18" customHeight="1">
      <c r="F349" s="97"/>
      <c r="G349" s="97"/>
    </row>
    <row r="350" spans="6:7" ht="18" customHeight="1">
      <c r="F350" s="97"/>
      <c r="G350" s="97"/>
    </row>
    <row r="351" spans="6:7" ht="18" customHeight="1">
      <c r="F351" s="97"/>
      <c r="G351" s="97"/>
    </row>
    <row r="352" spans="6:7" ht="18" customHeight="1">
      <c r="F352" s="97"/>
      <c r="G352" s="97"/>
    </row>
    <row r="353" spans="6:7" ht="18" customHeight="1">
      <c r="F353" s="97"/>
      <c r="G353" s="97"/>
    </row>
    <row r="354" spans="6:7" ht="18" customHeight="1">
      <c r="F354" s="97"/>
      <c r="G354" s="97"/>
    </row>
    <row r="355" spans="6:7" ht="18" customHeight="1">
      <c r="F355" s="97"/>
      <c r="G355" s="97"/>
    </row>
    <row r="356" spans="6:7" ht="18" customHeight="1">
      <c r="F356" s="97"/>
      <c r="G356" s="97"/>
    </row>
    <row r="357" spans="6:7" ht="18" customHeight="1">
      <c r="F357" s="97"/>
      <c r="G357" s="97"/>
    </row>
    <row r="358" spans="6:7" ht="18" customHeight="1">
      <c r="F358" s="97"/>
      <c r="G358" s="97"/>
    </row>
    <row r="359" spans="6:7" ht="18" customHeight="1">
      <c r="F359" s="97"/>
      <c r="G359" s="97"/>
    </row>
    <row r="360" spans="6:7" ht="18" customHeight="1">
      <c r="F360" s="97"/>
      <c r="G360" s="97"/>
    </row>
    <row r="361" spans="6:7" ht="18" customHeight="1">
      <c r="F361" s="97"/>
      <c r="G361" s="97"/>
    </row>
    <row r="362" spans="6:7" ht="18" customHeight="1">
      <c r="F362" s="97"/>
      <c r="G362" s="97"/>
    </row>
    <row r="363" spans="6:7" ht="18" customHeight="1">
      <c r="F363" s="97"/>
      <c r="G363" s="97"/>
    </row>
    <row r="364" spans="6:7" ht="18" customHeight="1">
      <c r="F364" s="97"/>
      <c r="G364" s="97"/>
    </row>
    <row r="365" spans="6:7" ht="18" customHeight="1">
      <c r="F365" s="97"/>
      <c r="G365" s="97"/>
    </row>
    <row r="366" spans="6:7" ht="18" customHeight="1">
      <c r="F366" s="97"/>
      <c r="G366" s="97"/>
    </row>
    <row r="367" spans="6:7" ht="18" customHeight="1">
      <c r="F367" s="97"/>
      <c r="G367" s="97"/>
    </row>
    <row r="368" spans="6:7" ht="18" customHeight="1">
      <c r="F368" s="97"/>
      <c r="G368" s="97"/>
    </row>
    <row r="369" spans="6:7" ht="18" customHeight="1">
      <c r="F369" s="97"/>
      <c r="G369" s="97"/>
    </row>
    <row r="370" spans="6:7" ht="18" customHeight="1">
      <c r="F370" s="97"/>
      <c r="G370" s="97"/>
    </row>
    <row r="371" spans="6:7" ht="18" customHeight="1">
      <c r="F371" s="97"/>
      <c r="G371" s="97"/>
    </row>
    <row r="372" spans="6:7" ht="18" customHeight="1">
      <c r="F372" s="97"/>
      <c r="G372" s="97"/>
    </row>
    <row r="373" spans="6:7" ht="18" customHeight="1">
      <c r="F373" s="97"/>
      <c r="G373" s="97"/>
    </row>
    <row r="374" spans="6:7" ht="18" customHeight="1">
      <c r="F374" s="97"/>
      <c r="G374" s="97"/>
    </row>
    <row r="375" spans="6:7" ht="18" customHeight="1">
      <c r="F375" s="97"/>
      <c r="G375" s="97"/>
    </row>
    <row r="376" spans="6:7" ht="18" customHeight="1">
      <c r="F376" s="97"/>
      <c r="G376" s="97"/>
    </row>
    <row r="377" spans="6:7" ht="18" customHeight="1">
      <c r="F377" s="97"/>
      <c r="G377" s="97"/>
    </row>
    <row r="378" spans="6:7" ht="18" customHeight="1">
      <c r="F378" s="97"/>
      <c r="G378" s="97"/>
    </row>
    <row r="379" spans="6:7" ht="18" customHeight="1">
      <c r="F379" s="97"/>
      <c r="G379" s="97"/>
    </row>
    <row r="380" spans="6:7" ht="18" customHeight="1">
      <c r="F380" s="97"/>
      <c r="G380" s="97"/>
    </row>
    <row r="381" spans="6:7" ht="18" customHeight="1">
      <c r="F381" s="97"/>
      <c r="G381" s="97"/>
    </row>
    <row r="382" spans="6:7" ht="18" customHeight="1">
      <c r="F382" s="97"/>
      <c r="G382" s="97"/>
    </row>
    <row r="383" spans="6:7" ht="18" customHeight="1">
      <c r="F383" s="97"/>
      <c r="G383" s="97"/>
    </row>
    <row r="384" spans="6:7" ht="18" customHeight="1">
      <c r="F384" s="97"/>
      <c r="G384" s="97"/>
    </row>
    <row r="385" spans="6:7" ht="18" customHeight="1">
      <c r="F385" s="97"/>
      <c r="G385" s="97"/>
    </row>
    <row r="386" spans="6:7" ht="18" customHeight="1">
      <c r="F386" s="97"/>
      <c r="G386" s="97"/>
    </row>
    <row r="387" spans="6:7" ht="18" customHeight="1">
      <c r="F387" s="97"/>
      <c r="G387" s="97"/>
    </row>
    <row r="388" spans="6:7" ht="18" customHeight="1">
      <c r="F388" s="97"/>
      <c r="G388" s="97"/>
    </row>
    <row r="389" spans="6:7" ht="18" customHeight="1">
      <c r="F389" s="97"/>
      <c r="G389" s="97"/>
    </row>
    <row r="390" spans="6:7" ht="18" customHeight="1">
      <c r="F390" s="97"/>
      <c r="G390" s="97"/>
    </row>
    <row r="391" spans="6:7" ht="18" customHeight="1">
      <c r="F391" s="97"/>
      <c r="G391" s="97"/>
    </row>
    <row r="392" spans="6:7" ht="18" customHeight="1">
      <c r="F392" s="97"/>
      <c r="G392" s="97"/>
    </row>
    <row r="393" spans="6:7" ht="18" customHeight="1">
      <c r="F393" s="97"/>
      <c r="G393" s="97"/>
    </row>
    <row r="394" spans="6:7" ht="18" customHeight="1">
      <c r="F394" s="97"/>
      <c r="G394" s="97"/>
    </row>
    <row r="395" spans="6:7" ht="18" customHeight="1">
      <c r="F395" s="97"/>
      <c r="G395" s="97"/>
    </row>
    <row r="396" spans="6:7" ht="18" customHeight="1">
      <c r="F396" s="97"/>
      <c r="G396" s="97"/>
    </row>
    <row r="397" spans="6:7" ht="18" customHeight="1">
      <c r="F397" s="97"/>
      <c r="G397" s="97"/>
    </row>
    <row r="398" spans="6:7" ht="18" customHeight="1">
      <c r="F398" s="97"/>
      <c r="G398" s="97"/>
    </row>
    <row r="399" spans="6:7" ht="18" customHeight="1">
      <c r="F399" s="97"/>
      <c r="G399" s="97"/>
    </row>
    <row r="400" spans="6:7" ht="18" customHeight="1">
      <c r="F400" s="97"/>
      <c r="G400" s="97"/>
    </row>
    <row r="401" spans="6:7" ht="18" customHeight="1">
      <c r="F401" s="97"/>
      <c r="G401" s="97"/>
    </row>
    <row r="402" spans="6:7" ht="18" customHeight="1">
      <c r="F402" s="97"/>
      <c r="G402" s="97"/>
    </row>
    <row r="403" spans="6:7" ht="18" customHeight="1">
      <c r="F403" s="97"/>
      <c r="G403" s="97"/>
    </row>
    <row r="404" spans="6:7" ht="18" customHeight="1">
      <c r="F404" s="97"/>
      <c r="G404" s="97"/>
    </row>
    <row r="405" spans="6:7" ht="18" customHeight="1">
      <c r="F405" s="97"/>
      <c r="G405" s="97"/>
    </row>
    <row r="406" spans="6:7" ht="18" customHeight="1">
      <c r="F406" s="97"/>
      <c r="G406" s="97"/>
    </row>
    <row r="407" spans="6:7" ht="18" customHeight="1">
      <c r="F407" s="97"/>
      <c r="G407" s="97"/>
    </row>
    <row r="408" spans="6:7" ht="18" customHeight="1">
      <c r="F408" s="97"/>
      <c r="G408" s="97"/>
    </row>
    <row r="409" spans="6:7" ht="18" customHeight="1">
      <c r="F409" s="97"/>
      <c r="G409" s="97"/>
    </row>
    <row r="410" spans="6:7" ht="18" customHeight="1">
      <c r="F410" s="97"/>
      <c r="G410" s="97"/>
    </row>
    <row r="411" spans="6:7" ht="18" customHeight="1">
      <c r="F411" s="97"/>
      <c r="G411" s="97"/>
    </row>
    <row r="412" spans="6:7" ht="18" customHeight="1">
      <c r="F412" s="97"/>
      <c r="G412" s="97"/>
    </row>
    <row r="413" spans="6:7" ht="18" customHeight="1">
      <c r="F413" s="97"/>
      <c r="G413" s="97"/>
    </row>
    <row r="414" spans="6:7" ht="18" customHeight="1">
      <c r="F414" s="97"/>
      <c r="G414" s="97"/>
    </row>
    <row r="415" spans="6:7" ht="18" customHeight="1">
      <c r="F415" s="97"/>
      <c r="G415" s="97"/>
    </row>
    <row r="416" spans="6:7" ht="18" customHeight="1">
      <c r="F416" s="97"/>
      <c r="G416" s="97"/>
    </row>
    <row r="417" spans="6:7" ht="18" customHeight="1">
      <c r="F417" s="97"/>
      <c r="G417" s="97"/>
    </row>
    <row r="418" spans="6:7" ht="18" customHeight="1">
      <c r="F418" s="97"/>
      <c r="G418" s="97"/>
    </row>
    <row r="419" spans="6:7" ht="18" customHeight="1">
      <c r="F419" s="97"/>
      <c r="G419" s="97"/>
    </row>
    <row r="420" spans="6:7" ht="18" customHeight="1">
      <c r="F420" s="97"/>
      <c r="G420" s="97"/>
    </row>
    <row r="421" spans="6:7" ht="18" customHeight="1">
      <c r="F421" s="97"/>
      <c r="G421" s="97"/>
    </row>
    <row r="422" spans="6:7" ht="18" customHeight="1">
      <c r="F422" s="97"/>
      <c r="G422" s="97"/>
    </row>
    <row r="423" spans="6:7" ht="18" customHeight="1">
      <c r="F423" s="97"/>
      <c r="G423" s="97"/>
    </row>
    <row r="424" spans="6:7" ht="18" customHeight="1">
      <c r="F424" s="97"/>
      <c r="G424" s="97"/>
    </row>
    <row r="425" spans="6:7" ht="18" customHeight="1">
      <c r="F425" s="97"/>
      <c r="G425" s="97"/>
    </row>
    <row r="426" spans="6:7" ht="18" customHeight="1">
      <c r="F426" s="97"/>
      <c r="G426" s="97"/>
    </row>
    <row r="427" spans="6:7" ht="18" customHeight="1">
      <c r="F427" s="97"/>
      <c r="G427" s="97"/>
    </row>
    <row r="428" spans="6:7" ht="18" customHeight="1">
      <c r="F428" s="97"/>
      <c r="G428" s="97"/>
    </row>
    <row r="429" spans="6:7" ht="18" customHeight="1">
      <c r="F429" s="97"/>
      <c r="G429" s="97"/>
    </row>
    <row r="430" spans="6:7" ht="18" customHeight="1">
      <c r="F430" s="97"/>
      <c r="G430" s="97"/>
    </row>
    <row r="431" spans="6:7" ht="18" customHeight="1">
      <c r="F431" s="97"/>
      <c r="G431" s="97"/>
    </row>
    <row r="432" spans="6:7" ht="18" customHeight="1">
      <c r="F432" s="97"/>
      <c r="G432" s="97"/>
    </row>
    <row r="433" spans="6:7" ht="18" customHeight="1">
      <c r="F433" s="97"/>
      <c r="G433" s="97"/>
    </row>
    <row r="434" spans="6:7" ht="18" customHeight="1">
      <c r="F434" s="97"/>
      <c r="G434" s="97"/>
    </row>
    <row r="435" spans="6:7" ht="18" customHeight="1">
      <c r="F435" s="97"/>
      <c r="G435" s="97"/>
    </row>
    <row r="436" spans="6:7" ht="18" customHeight="1">
      <c r="F436" s="97"/>
      <c r="G436" s="97"/>
    </row>
    <row r="437" spans="6:7" ht="18" customHeight="1">
      <c r="F437" s="97"/>
      <c r="G437" s="97"/>
    </row>
    <row r="438" spans="6:7" ht="18" customHeight="1">
      <c r="F438" s="97"/>
      <c r="G438" s="97"/>
    </row>
    <row r="439" spans="6:7" ht="18" customHeight="1">
      <c r="F439" s="97"/>
      <c r="G439" s="97"/>
    </row>
    <row r="440" spans="6:7" ht="18" customHeight="1">
      <c r="F440" s="97"/>
      <c r="G440" s="97"/>
    </row>
    <row r="441" spans="6:7" ht="18" customHeight="1">
      <c r="F441" s="97"/>
      <c r="G441" s="97"/>
    </row>
    <row r="442" spans="6:7" ht="18" customHeight="1">
      <c r="F442" s="97"/>
      <c r="G442" s="97"/>
    </row>
    <row r="443" spans="6:7" ht="18" customHeight="1">
      <c r="F443" s="97"/>
      <c r="G443" s="97"/>
    </row>
    <row r="444" spans="6:7" ht="18" customHeight="1">
      <c r="F444" s="97"/>
      <c r="G444" s="97"/>
    </row>
    <row r="445" spans="6:7" ht="18" customHeight="1">
      <c r="F445" s="97"/>
      <c r="G445" s="97"/>
    </row>
    <row r="446" spans="6:7" ht="18" customHeight="1">
      <c r="F446" s="97"/>
      <c r="G446" s="97"/>
    </row>
    <row r="447" spans="6:7" ht="18" customHeight="1">
      <c r="F447" s="97"/>
      <c r="G447" s="97"/>
    </row>
    <row r="448" spans="6:7" ht="18" customHeight="1">
      <c r="F448" s="97"/>
      <c r="G448" s="97"/>
    </row>
    <row r="449" spans="6:7" ht="18" customHeight="1">
      <c r="F449" s="97"/>
      <c r="G449" s="97"/>
    </row>
    <row r="450" spans="6:7" ht="18" customHeight="1">
      <c r="F450" s="97"/>
      <c r="G450" s="97"/>
    </row>
    <row r="451" spans="6:7" ht="18" customHeight="1">
      <c r="F451" s="97"/>
      <c r="G451" s="97"/>
    </row>
    <row r="452" spans="6:7" ht="18" customHeight="1">
      <c r="F452" s="97"/>
      <c r="G452" s="97"/>
    </row>
    <row r="453" spans="6:7" ht="18" customHeight="1">
      <c r="F453" s="97"/>
      <c r="G453" s="97"/>
    </row>
    <row r="454" spans="6:7" ht="18" customHeight="1">
      <c r="F454" s="97"/>
      <c r="G454" s="97"/>
    </row>
    <row r="455" spans="6:7" ht="18" customHeight="1">
      <c r="F455" s="97"/>
      <c r="G455" s="97"/>
    </row>
    <row r="456" spans="6:7" ht="18" customHeight="1">
      <c r="F456" s="97"/>
      <c r="G456" s="97"/>
    </row>
    <row r="457" spans="6:7" ht="18" customHeight="1">
      <c r="F457" s="97"/>
      <c r="G457" s="97"/>
    </row>
    <row r="458" spans="6:7" ht="18" customHeight="1">
      <c r="F458" s="97"/>
      <c r="G458" s="97"/>
    </row>
    <row r="459" spans="6:7" ht="18" customHeight="1">
      <c r="F459" s="97"/>
      <c r="G459" s="97"/>
    </row>
    <row r="460" spans="6:7" ht="18" customHeight="1">
      <c r="F460" s="97"/>
      <c r="G460" s="97"/>
    </row>
    <row r="461" spans="6:7" ht="18" customHeight="1">
      <c r="F461" s="97"/>
      <c r="G461" s="97"/>
    </row>
    <row r="462" spans="6:7" ht="18" customHeight="1">
      <c r="F462" s="97"/>
      <c r="G462" s="97"/>
    </row>
    <row r="463" spans="6:7" ht="18" customHeight="1">
      <c r="F463" s="97"/>
      <c r="G463" s="97"/>
    </row>
    <row r="464" spans="6:7" ht="18" customHeight="1">
      <c r="F464" s="97"/>
      <c r="G464" s="97"/>
    </row>
    <row r="465" spans="6:7" ht="18" customHeight="1">
      <c r="F465" s="97"/>
      <c r="G465" s="97"/>
    </row>
    <row r="466" spans="6:7" ht="18" customHeight="1">
      <c r="F466" s="97"/>
      <c r="G466" s="97"/>
    </row>
    <row r="467" spans="6:7" ht="18" customHeight="1">
      <c r="F467" s="97"/>
      <c r="G467" s="97"/>
    </row>
    <row r="468" spans="6:7" ht="18" customHeight="1">
      <c r="F468" s="97"/>
      <c r="G468" s="97"/>
    </row>
    <row r="469" spans="6:7" ht="18" customHeight="1">
      <c r="F469" s="97"/>
      <c r="G469" s="97"/>
    </row>
    <row r="470" spans="6:7" ht="18" customHeight="1">
      <c r="F470" s="97"/>
      <c r="G470" s="97"/>
    </row>
    <row r="471" spans="6:7" ht="18" customHeight="1">
      <c r="F471" s="97"/>
      <c r="G471" s="97"/>
    </row>
    <row r="472" spans="6:7" ht="18" customHeight="1">
      <c r="F472" s="97"/>
      <c r="G472" s="97"/>
    </row>
    <row r="473" spans="6:7" ht="18" customHeight="1">
      <c r="F473" s="97"/>
      <c r="G473" s="97"/>
    </row>
    <row r="474" spans="6:7" ht="18" customHeight="1">
      <c r="F474" s="97"/>
      <c r="G474" s="97"/>
    </row>
    <row r="475" spans="6:7" ht="18" customHeight="1">
      <c r="F475" s="97"/>
      <c r="G475" s="97"/>
    </row>
    <row r="476" spans="6:7" ht="18" customHeight="1">
      <c r="F476" s="97"/>
      <c r="G476" s="97"/>
    </row>
    <row r="477" spans="6:7" ht="18" customHeight="1">
      <c r="F477" s="97"/>
      <c r="G477" s="97"/>
    </row>
  </sheetData>
  <printOptions/>
  <pageMargins left="0.38" right="0.17" top="1.19" bottom="0.94" header="0.41" footer="0.5511811023622047"/>
  <pageSetup firstPageNumber="13" useFirstPageNumber="1" horizontalDpi="360" verticalDpi="360" orientation="portrait" paperSize="9" scale="94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pane xSplit="2" ySplit="2" topLeftCell="C3" activePane="bottomRight" state="frozen"/>
      <selection pane="topLeft" activeCell="F1" sqref="F1:G2"/>
      <selection pane="topRight" activeCell="F1" sqref="F1:G2"/>
      <selection pane="bottomLeft" activeCell="F1" sqref="F1:G2"/>
      <selection pane="bottomRight" activeCell="E26" sqref="E26"/>
    </sheetView>
  </sheetViews>
  <sheetFormatPr defaultColWidth="9.00390625" defaultRowHeight="18" customHeight="1"/>
  <cols>
    <col min="1" max="1" width="5.875" style="85" customWidth="1"/>
    <col min="2" max="2" width="41.75390625" style="18" customWidth="1"/>
    <col min="3" max="3" width="12.75390625" style="19" customWidth="1"/>
    <col min="4" max="4" width="12.75390625" style="19" bestFit="1" customWidth="1"/>
    <col min="5" max="5" width="12.75390625" style="19" customWidth="1"/>
    <col min="6" max="6" width="8.875" style="86" bestFit="1" customWidth="1"/>
    <col min="7" max="7" width="9.125" style="86" bestFit="1" customWidth="1"/>
    <col min="8" max="8" width="11.125" style="17" bestFit="1" customWidth="1"/>
    <col min="9" max="16384" width="9.125" style="17" customWidth="1"/>
  </cols>
  <sheetData>
    <row r="1" spans="1:7" ht="18" customHeight="1">
      <c r="A1" s="22" t="s">
        <v>247</v>
      </c>
      <c r="B1" s="23" t="s">
        <v>45</v>
      </c>
      <c r="C1" s="1" t="s">
        <v>325</v>
      </c>
      <c r="D1" s="111" t="s">
        <v>243</v>
      </c>
      <c r="E1" s="1" t="s">
        <v>326</v>
      </c>
      <c r="F1" s="121" t="s">
        <v>48</v>
      </c>
      <c r="G1" s="121" t="s">
        <v>48</v>
      </c>
    </row>
    <row r="2" spans="1:7" ht="18" customHeight="1" thickBot="1">
      <c r="A2" s="24" t="s">
        <v>174</v>
      </c>
      <c r="B2" s="25"/>
      <c r="C2" s="28">
        <v>2004</v>
      </c>
      <c r="D2" s="109">
        <v>38245</v>
      </c>
      <c r="E2" s="28">
        <v>2004</v>
      </c>
      <c r="F2" s="6" t="s">
        <v>327</v>
      </c>
      <c r="G2" s="6" t="s">
        <v>328</v>
      </c>
    </row>
    <row r="3" spans="1:7" ht="18" customHeight="1">
      <c r="A3" s="87"/>
      <c r="B3" s="88"/>
      <c r="C3" s="89"/>
      <c r="D3" s="89"/>
      <c r="E3" s="89"/>
      <c r="F3" s="8"/>
      <c r="G3" s="8"/>
    </row>
    <row r="4" spans="1:7" ht="18" customHeight="1">
      <c r="A4" s="7" t="s">
        <v>86</v>
      </c>
      <c r="B4" s="11" t="s">
        <v>248</v>
      </c>
      <c r="C4" s="69">
        <v>30000000</v>
      </c>
      <c r="D4" s="69">
        <v>16544879</v>
      </c>
      <c r="E4" s="69">
        <v>30000000</v>
      </c>
      <c r="F4" s="15">
        <f>IF(C4=0,"-",$E4/C4*100)</f>
        <v>100</v>
      </c>
      <c r="G4" s="15">
        <f>IF(C4=0,"-",$D4/C4*100)</f>
        <v>55.14959666666667</v>
      </c>
    </row>
    <row r="5" spans="1:7" ht="18" customHeight="1">
      <c r="A5" s="7" t="s">
        <v>85</v>
      </c>
      <c r="B5" s="11" t="s">
        <v>26</v>
      </c>
      <c r="C5" s="69">
        <v>12000000</v>
      </c>
      <c r="D5" s="69">
        <v>11636883</v>
      </c>
      <c r="E5" s="69">
        <v>12000000</v>
      </c>
      <c r="F5" s="15">
        <f aca="true" t="shared" si="0" ref="F5:F34">IF(C5=0,"-",$E5/C5*100)</f>
        <v>100</v>
      </c>
      <c r="G5" s="15">
        <f aca="true" t="shared" si="1" ref="G5:G34">IF(C5=0,"-",$D5/C5*100)</f>
        <v>96.974025</v>
      </c>
    </row>
    <row r="6" spans="1:7" ht="18" customHeight="1">
      <c r="A6" s="7" t="s">
        <v>84</v>
      </c>
      <c r="B6" s="11" t="s">
        <v>21</v>
      </c>
      <c r="C6" s="69">
        <f>49600000+6000000</f>
        <v>55600000</v>
      </c>
      <c r="D6" s="69">
        <v>33997707</v>
      </c>
      <c r="E6" s="69">
        <v>54000000</v>
      </c>
      <c r="F6" s="15">
        <f t="shared" si="0"/>
        <v>97.12230215827337</v>
      </c>
      <c r="G6" s="15">
        <f t="shared" si="1"/>
        <v>61.14695503597122</v>
      </c>
    </row>
    <row r="7" spans="1:7" ht="18" customHeight="1">
      <c r="A7" s="7" t="s">
        <v>83</v>
      </c>
      <c r="B7" s="11" t="s">
        <v>20</v>
      </c>
      <c r="C7" s="69">
        <v>8000000</v>
      </c>
      <c r="D7" s="69">
        <v>3136810</v>
      </c>
      <c r="E7" s="69">
        <v>8000000</v>
      </c>
      <c r="F7" s="15">
        <f t="shared" si="0"/>
        <v>100</v>
      </c>
      <c r="G7" s="15">
        <f t="shared" si="1"/>
        <v>39.210125</v>
      </c>
    </row>
    <row r="8" spans="1:8" ht="18" customHeight="1">
      <c r="A8" s="7" t="s">
        <v>71</v>
      </c>
      <c r="B8" s="11" t="s">
        <v>361</v>
      </c>
      <c r="C8" s="69">
        <v>9000000</v>
      </c>
      <c r="D8" s="69">
        <v>6259759</v>
      </c>
      <c r="E8" s="69">
        <v>9000000</v>
      </c>
      <c r="F8" s="15">
        <f t="shared" si="0"/>
        <v>100</v>
      </c>
      <c r="G8" s="15">
        <f t="shared" si="1"/>
        <v>69.55287777777778</v>
      </c>
      <c r="H8" s="26">
        <f>SUM(D8:D10)</f>
        <v>34947057</v>
      </c>
    </row>
    <row r="9" spans="1:7" ht="18" customHeight="1">
      <c r="A9" s="7" t="s">
        <v>71</v>
      </c>
      <c r="B9" s="11" t="s">
        <v>309</v>
      </c>
      <c r="C9" s="69">
        <v>5000000</v>
      </c>
      <c r="D9" s="69">
        <v>3837298</v>
      </c>
      <c r="E9" s="69">
        <v>7500000</v>
      </c>
      <c r="F9" s="15">
        <f t="shared" si="0"/>
        <v>150</v>
      </c>
      <c r="G9" s="15">
        <f t="shared" si="1"/>
        <v>76.74596</v>
      </c>
    </row>
    <row r="10" spans="1:7" ht="18" customHeight="1">
      <c r="A10" s="7" t="s">
        <v>71</v>
      </c>
      <c r="B10" s="11" t="s">
        <v>240</v>
      </c>
      <c r="C10" s="69">
        <v>40700000</v>
      </c>
      <c r="D10" s="69">
        <v>24850000</v>
      </c>
      <c r="E10" s="69">
        <v>40700000</v>
      </c>
      <c r="F10" s="15">
        <f t="shared" si="0"/>
        <v>100</v>
      </c>
      <c r="G10" s="15">
        <f t="shared" si="1"/>
        <v>61.056511056511056</v>
      </c>
    </row>
    <row r="11" spans="1:7" ht="18" customHeight="1">
      <c r="A11" s="7" t="s">
        <v>82</v>
      </c>
      <c r="B11" s="11" t="s">
        <v>197</v>
      </c>
      <c r="C11" s="69">
        <f>170000000+15000000-5000000</f>
        <v>180000000</v>
      </c>
      <c r="D11" s="69">
        <v>164388261</v>
      </c>
      <c r="E11" s="69">
        <v>211000000</v>
      </c>
      <c r="F11" s="15">
        <f t="shared" si="0"/>
        <v>117.22222222222223</v>
      </c>
      <c r="G11" s="15">
        <f t="shared" si="1"/>
        <v>91.32681166666666</v>
      </c>
    </row>
    <row r="12" spans="1:7" ht="18" customHeight="1">
      <c r="A12" s="7" t="s">
        <v>81</v>
      </c>
      <c r="B12" s="11" t="s">
        <v>19</v>
      </c>
      <c r="C12" s="69">
        <v>70000000</v>
      </c>
      <c r="D12" s="69">
        <v>42944633</v>
      </c>
      <c r="E12" s="69">
        <v>70000000</v>
      </c>
      <c r="F12" s="15">
        <f t="shared" si="0"/>
        <v>100</v>
      </c>
      <c r="G12" s="15">
        <f t="shared" si="1"/>
        <v>61.34947571428572</v>
      </c>
    </row>
    <row r="13" spans="1:8" ht="18" customHeight="1">
      <c r="A13" s="7" t="s">
        <v>80</v>
      </c>
      <c r="B13" s="11" t="s">
        <v>198</v>
      </c>
      <c r="C13" s="69">
        <f>133000000+29000000</f>
        <v>162000000</v>
      </c>
      <c r="D13" s="69">
        <v>62161876</v>
      </c>
      <c r="E13" s="69">
        <v>157000000</v>
      </c>
      <c r="F13" s="15">
        <f t="shared" si="0"/>
        <v>96.91358024691358</v>
      </c>
      <c r="G13" s="15">
        <f t="shared" si="1"/>
        <v>38.37152839506173</v>
      </c>
      <c r="H13" s="26"/>
    </row>
    <row r="14" spans="1:8" ht="18" customHeight="1">
      <c r="A14" s="7" t="s">
        <v>79</v>
      </c>
      <c r="B14" s="11" t="s">
        <v>199</v>
      </c>
      <c r="C14" s="69">
        <v>19000000</v>
      </c>
      <c r="D14" s="69">
        <v>3743707</v>
      </c>
      <c r="E14" s="69">
        <v>19000000</v>
      </c>
      <c r="F14" s="15">
        <f t="shared" si="0"/>
        <v>100</v>
      </c>
      <c r="G14" s="15">
        <f t="shared" si="1"/>
        <v>19.70372105263158</v>
      </c>
      <c r="H14" s="26"/>
    </row>
    <row r="15" spans="1:8" ht="18" customHeight="1">
      <c r="A15" s="7" t="s">
        <v>78</v>
      </c>
      <c r="B15" s="11" t="s">
        <v>336</v>
      </c>
      <c r="C15" s="69">
        <f>558500000+5000000+3000000+29000000</f>
        <v>595500000</v>
      </c>
      <c r="D15" s="69">
        <v>85502877</v>
      </c>
      <c r="E15" s="69">
        <v>611000000</v>
      </c>
      <c r="F15" s="15">
        <f t="shared" si="0"/>
        <v>102.60285474391269</v>
      </c>
      <c r="G15" s="15">
        <f t="shared" si="1"/>
        <v>14.358165743073048</v>
      </c>
      <c r="H15" s="26"/>
    </row>
    <row r="16" spans="1:7" ht="18" customHeight="1">
      <c r="A16" s="7" t="s">
        <v>77</v>
      </c>
      <c r="B16" s="11" t="s">
        <v>200</v>
      </c>
      <c r="C16" s="69">
        <f>96000000-3000000+2500000</f>
        <v>95500000</v>
      </c>
      <c r="D16" s="69">
        <v>55230949</v>
      </c>
      <c r="E16" s="69">
        <f>96000000-3000000+2500000+10500000</f>
        <v>106000000</v>
      </c>
      <c r="F16" s="15">
        <f t="shared" si="0"/>
        <v>110.99476439790577</v>
      </c>
      <c r="G16" s="15">
        <f t="shared" si="1"/>
        <v>57.833454450261776</v>
      </c>
    </row>
    <row r="17" spans="1:8" ht="18" customHeight="1">
      <c r="A17" s="7" t="s">
        <v>76</v>
      </c>
      <c r="B17" s="11" t="s">
        <v>201</v>
      </c>
      <c r="C17" s="69">
        <f>15000000-1000000</f>
        <v>14000000</v>
      </c>
      <c r="D17" s="69">
        <v>5053973</v>
      </c>
      <c r="E17" s="69">
        <f>15000000-1000000</f>
        <v>14000000</v>
      </c>
      <c r="F17" s="15">
        <f t="shared" si="0"/>
        <v>100</v>
      </c>
      <c r="G17" s="15">
        <f t="shared" si="1"/>
        <v>36.099807142857145</v>
      </c>
      <c r="H17" s="26">
        <f>SUM(D17:D18)</f>
        <v>37280696</v>
      </c>
    </row>
    <row r="18" spans="1:7" ht="18" customHeight="1">
      <c r="A18" s="7" t="s">
        <v>76</v>
      </c>
      <c r="B18" s="11" t="s">
        <v>337</v>
      </c>
      <c r="C18" s="69">
        <f>56000000+7000000</f>
        <v>63000000</v>
      </c>
      <c r="D18" s="69">
        <v>32226723</v>
      </c>
      <c r="E18" s="69">
        <f>56000000+7000000</f>
        <v>63000000</v>
      </c>
      <c r="F18" s="15">
        <f t="shared" si="0"/>
        <v>100</v>
      </c>
      <c r="G18" s="15">
        <f t="shared" si="1"/>
        <v>51.15352857142857</v>
      </c>
    </row>
    <row r="19" spans="1:7" ht="18" customHeight="1">
      <c r="A19" s="7" t="s">
        <v>75</v>
      </c>
      <c r="B19" s="11" t="s">
        <v>154</v>
      </c>
      <c r="C19" s="69">
        <f>71000000+70000000-5500000+50000000+10000000</f>
        <v>195500000</v>
      </c>
      <c r="D19" s="69">
        <v>151549299</v>
      </c>
      <c r="E19" s="69">
        <f>71000000+70000000-5500000+50000000+10000000</f>
        <v>195500000</v>
      </c>
      <c r="F19" s="15">
        <f t="shared" si="0"/>
        <v>100</v>
      </c>
      <c r="G19" s="15">
        <f t="shared" si="1"/>
        <v>77.51882301790282</v>
      </c>
    </row>
    <row r="20" spans="1:7" ht="18" customHeight="1">
      <c r="A20" s="7" t="s">
        <v>74</v>
      </c>
      <c r="B20" s="11" t="s">
        <v>249</v>
      </c>
      <c r="C20" s="69">
        <f>150000000-100000000</f>
        <v>50000000</v>
      </c>
      <c r="D20" s="69">
        <v>0</v>
      </c>
      <c r="E20" s="69">
        <v>1000000</v>
      </c>
      <c r="F20" s="15">
        <f t="shared" si="0"/>
        <v>2</v>
      </c>
      <c r="G20" s="15">
        <f t="shared" si="1"/>
        <v>0</v>
      </c>
    </row>
    <row r="21" spans="1:7" ht="18" customHeight="1">
      <c r="A21" s="7" t="s">
        <v>74</v>
      </c>
      <c r="B21" s="11" t="s">
        <v>338</v>
      </c>
      <c r="C21" s="69">
        <v>43000000</v>
      </c>
      <c r="D21" s="69">
        <v>4505598</v>
      </c>
      <c r="E21" s="69">
        <f>43000000-14000000</f>
        <v>29000000</v>
      </c>
      <c r="F21" s="15">
        <f t="shared" si="0"/>
        <v>67.44186046511628</v>
      </c>
      <c r="G21" s="15">
        <f t="shared" si="1"/>
        <v>10.47813488372093</v>
      </c>
    </row>
    <row r="22" spans="1:7" ht="18" customHeight="1">
      <c r="A22" s="7" t="s">
        <v>73</v>
      </c>
      <c r="B22" s="11" t="s">
        <v>339</v>
      </c>
      <c r="C22" s="69">
        <v>58000000</v>
      </c>
      <c r="D22" s="69">
        <v>34975467</v>
      </c>
      <c r="E22" s="69">
        <v>58000000</v>
      </c>
      <c r="F22" s="15">
        <f t="shared" si="0"/>
        <v>100</v>
      </c>
      <c r="G22" s="15">
        <f t="shared" si="1"/>
        <v>60.30252931034483</v>
      </c>
    </row>
    <row r="23" spans="1:7" ht="18" customHeight="1">
      <c r="A23" s="7" t="s">
        <v>72</v>
      </c>
      <c r="B23" s="11" t="s">
        <v>340</v>
      </c>
      <c r="C23" s="69">
        <v>97000000</v>
      </c>
      <c r="D23" s="69">
        <v>26429771</v>
      </c>
      <c r="E23" s="69">
        <v>97000000</v>
      </c>
      <c r="F23" s="15">
        <f t="shared" si="0"/>
        <v>100</v>
      </c>
      <c r="G23" s="15">
        <f t="shared" si="1"/>
        <v>27.247186597938146</v>
      </c>
    </row>
    <row r="24" spans="1:7" ht="18" customHeight="1">
      <c r="A24" s="7" t="s">
        <v>70</v>
      </c>
      <c r="B24" s="11" t="s">
        <v>341</v>
      </c>
      <c r="C24" s="69">
        <f>512000000-2000000-86000000</f>
        <v>424000000</v>
      </c>
      <c r="D24" s="69">
        <v>32609533</v>
      </c>
      <c r="E24" s="69">
        <v>432000000</v>
      </c>
      <c r="F24" s="15">
        <f t="shared" si="0"/>
        <v>101.88679245283019</v>
      </c>
      <c r="G24" s="15">
        <f t="shared" si="1"/>
        <v>7.690927594339622</v>
      </c>
    </row>
    <row r="25" spans="1:7" ht="18" customHeight="1">
      <c r="A25" s="7" t="s">
        <v>69</v>
      </c>
      <c r="B25" s="11" t="s">
        <v>342</v>
      </c>
      <c r="C25" s="69">
        <f>223000000-1000000+61000000-500000</f>
        <v>282500000</v>
      </c>
      <c r="D25" s="69">
        <v>83280542</v>
      </c>
      <c r="E25" s="69">
        <v>263500000</v>
      </c>
      <c r="F25" s="15">
        <f t="shared" si="0"/>
        <v>93.27433628318585</v>
      </c>
      <c r="G25" s="15">
        <f t="shared" si="1"/>
        <v>29.479837876106195</v>
      </c>
    </row>
    <row r="26" spans="1:7" ht="18" customHeight="1">
      <c r="A26" s="7" t="s">
        <v>68</v>
      </c>
      <c r="B26" s="11" t="s">
        <v>202</v>
      </c>
      <c r="C26" s="69">
        <v>30000000</v>
      </c>
      <c r="D26" s="69">
        <v>516000</v>
      </c>
      <c r="E26" s="69">
        <v>15000000</v>
      </c>
      <c r="F26" s="15">
        <f t="shared" si="0"/>
        <v>50</v>
      </c>
      <c r="G26" s="15">
        <f t="shared" si="1"/>
        <v>1.72</v>
      </c>
    </row>
    <row r="27" spans="1:7" ht="18" customHeight="1">
      <c r="A27" s="7" t="s">
        <v>67</v>
      </c>
      <c r="B27" s="11" t="s">
        <v>25</v>
      </c>
      <c r="C27" s="69">
        <f>88000000+10000000-2000000-2500000</f>
        <v>93500000</v>
      </c>
      <c r="D27" s="69">
        <v>88104336</v>
      </c>
      <c r="E27" s="69">
        <v>111000000</v>
      </c>
      <c r="F27" s="15">
        <f t="shared" si="0"/>
        <v>118.71657754010695</v>
      </c>
      <c r="G27" s="15">
        <f t="shared" si="1"/>
        <v>94.22923636363636</v>
      </c>
    </row>
    <row r="28" spans="1:7" ht="18" customHeight="1">
      <c r="A28" s="7"/>
      <c r="B28" s="11"/>
      <c r="C28" s="69"/>
      <c r="D28" s="69"/>
      <c r="E28" s="69"/>
      <c r="F28" s="15"/>
      <c r="G28" s="15"/>
    </row>
    <row r="29" spans="1:7" ht="18" customHeight="1" thickBot="1">
      <c r="A29" s="70"/>
      <c r="B29" s="112" t="s">
        <v>190</v>
      </c>
      <c r="C29" s="30">
        <f>SUM(C4:C28)</f>
        <v>2632800000</v>
      </c>
      <c r="D29" s="30">
        <f>SUM(D4:D28)</f>
        <v>973486881</v>
      </c>
      <c r="E29" s="30">
        <f>SUM(E4:E28)</f>
        <v>2614200000</v>
      </c>
      <c r="F29" s="115">
        <f t="shared" si="0"/>
        <v>99.29352780309935</v>
      </c>
      <c r="G29" s="115">
        <f t="shared" si="1"/>
        <v>36.97534491795807</v>
      </c>
    </row>
    <row r="30" spans="1:7" ht="18" customHeight="1">
      <c r="A30" s="83"/>
      <c r="B30" s="84" t="s">
        <v>44</v>
      </c>
      <c r="C30" s="113"/>
      <c r="D30" s="113"/>
      <c r="E30" s="113"/>
      <c r="F30" s="114"/>
      <c r="G30" s="114"/>
    </row>
    <row r="31" spans="1:7" ht="18" customHeight="1">
      <c r="A31" s="7" t="s">
        <v>71</v>
      </c>
      <c r="B31" s="11" t="s">
        <v>294</v>
      </c>
      <c r="C31" s="12">
        <v>95000000</v>
      </c>
      <c r="D31" s="12">
        <v>47500000</v>
      </c>
      <c r="E31" s="12">
        <v>95000000</v>
      </c>
      <c r="F31" s="15">
        <f t="shared" si="0"/>
        <v>100</v>
      </c>
      <c r="G31" s="15">
        <f t="shared" si="1"/>
        <v>50</v>
      </c>
    </row>
    <row r="32" spans="1:7" ht="18" customHeight="1">
      <c r="A32" s="13"/>
      <c r="B32" s="11"/>
      <c r="C32" s="12"/>
      <c r="D32" s="12"/>
      <c r="E32" s="12"/>
      <c r="F32" s="15"/>
      <c r="G32" s="15"/>
    </row>
    <row r="33" spans="1:7" ht="18" customHeight="1" thickBot="1">
      <c r="A33" s="70"/>
      <c r="B33" s="112" t="s">
        <v>190</v>
      </c>
      <c r="C33" s="30">
        <f>SUM(C31:C32)</f>
        <v>95000000</v>
      </c>
      <c r="D33" s="30">
        <f>SUM(D31:D32)</f>
        <v>47500000</v>
      </c>
      <c r="E33" s="30">
        <f>SUM(E31:E32)</f>
        <v>95000000</v>
      </c>
      <c r="F33" s="115">
        <f t="shared" si="0"/>
        <v>100</v>
      </c>
      <c r="G33" s="116">
        <f t="shared" si="1"/>
        <v>50</v>
      </c>
    </row>
    <row r="34" spans="1:7" ht="18" customHeight="1" thickBot="1">
      <c r="A34" s="70"/>
      <c r="B34" s="118" t="s">
        <v>189</v>
      </c>
      <c r="C34" s="30">
        <f>+C29+C33</f>
        <v>2727800000</v>
      </c>
      <c r="D34" s="30">
        <f>+D29+D33</f>
        <v>1020986881</v>
      </c>
      <c r="E34" s="30">
        <f>+E29+E33</f>
        <v>2709200000</v>
      </c>
      <c r="F34" s="115">
        <f t="shared" si="0"/>
        <v>99.31813182784661</v>
      </c>
      <c r="G34" s="117">
        <f t="shared" si="1"/>
        <v>37.42894937312119</v>
      </c>
    </row>
  </sheetData>
  <printOptions/>
  <pageMargins left="0.41" right="0.17" top="1.19" bottom="0.65" header="0.41" footer="0.25"/>
  <pageSetup firstPageNumber="14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pane xSplit="2" ySplit="2" topLeftCell="C3" activePane="bottomRight" state="frozen"/>
      <selection pane="topLeft" activeCell="F1" sqref="F1:G2"/>
      <selection pane="topRight" activeCell="F1" sqref="F1:G2"/>
      <selection pane="bottomLeft" activeCell="F1" sqref="F1:G2"/>
      <selection pane="bottomRight" activeCell="C3" sqref="C3"/>
    </sheetView>
  </sheetViews>
  <sheetFormatPr defaultColWidth="9.00390625" defaultRowHeight="18" customHeight="1"/>
  <cols>
    <col min="1" max="1" width="7.375" style="85" customWidth="1"/>
    <col min="2" max="2" width="38.75390625" style="18" customWidth="1"/>
    <col min="3" max="3" width="12.875" style="75" customWidth="1"/>
    <col min="4" max="4" width="12.875" style="75" bestFit="1" customWidth="1"/>
    <col min="5" max="5" width="12.875" style="75" customWidth="1"/>
    <col min="6" max="6" width="8.875" style="8" bestFit="1" customWidth="1"/>
    <col min="7" max="7" width="9.125" style="8" bestFit="1" customWidth="1"/>
    <col min="8" max="16384" width="9.125" style="17" customWidth="1"/>
  </cols>
  <sheetData>
    <row r="1" spans="1:7" ht="18" customHeight="1">
      <c r="A1" s="22" t="s">
        <v>29</v>
      </c>
      <c r="B1" s="23" t="s">
        <v>45</v>
      </c>
      <c r="C1" s="1" t="s">
        <v>325</v>
      </c>
      <c r="D1" s="111" t="s">
        <v>243</v>
      </c>
      <c r="E1" s="1" t="s">
        <v>326</v>
      </c>
      <c r="F1" s="121" t="s">
        <v>48</v>
      </c>
      <c r="G1" s="121" t="s">
        <v>48</v>
      </c>
    </row>
    <row r="2" spans="1:7" ht="18" customHeight="1" thickBot="1">
      <c r="A2" s="24" t="s">
        <v>174</v>
      </c>
      <c r="B2" s="25"/>
      <c r="C2" s="28">
        <v>2004</v>
      </c>
      <c r="D2" s="109">
        <v>38245</v>
      </c>
      <c r="E2" s="28">
        <v>2004</v>
      </c>
      <c r="F2" s="6" t="s">
        <v>327</v>
      </c>
      <c r="G2" s="6" t="s">
        <v>328</v>
      </c>
    </row>
    <row r="3" spans="1:5" ht="18" customHeight="1">
      <c r="A3" s="87"/>
      <c r="B3" s="88"/>
      <c r="C3" s="89"/>
      <c r="D3" s="89"/>
      <c r="E3" s="89"/>
    </row>
    <row r="4" spans="1:7" ht="18" customHeight="1">
      <c r="A4" s="7" t="s">
        <v>89</v>
      </c>
      <c r="B4" s="11" t="s">
        <v>281</v>
      </c>
      <c r="C4" s="69">
        <f>45000000+8000000</f>
        <v>53000000</v>
      </c>
      <c r="D4" s="69">
        <v>10941571</v>
      </c>
      <c r="E4" s="69">
        <v>43460000</v>
      </c>
      <c r="F4" s="14">
        <f aca="true" t="shared" si="0" ref="F4:F9">IF(C4=0,"-",$E4/C4*100)</f>
        <v>82</v>
      </c>
      <c r="G4" s="14">
        <f aca="true" t="shared" si="1" ref="G4:G9">IF(C4=0,"-",$D4/C4*100)</f>
        <v>20.644473584905658</v>
      </c>
    </row>
    <row r="5" spans="1:7" ht="18" customHeight="1">
      <c r="A5" s="7" t="s">
        <v>88</v>
      </c>
      <c r="B5" s="11" t="s">
        <v>282</v>
      </c>
      <c r="C5" s="69">
        <v>75000000</v>
      </c>
      <c r="D5" s="69">
        <v>8114472</v>
      </c>
      <c r="E5" s="69">
        <v>57995000</v>
      </c>
      <c r="F5" s="14">
        <f t="shared" si="0"/>
        <v>77.32666666666667</v>
      </c>
      <c r="G5" s="14">
        <f t="shared" si="1"/>
        <v>10.819296000000001</v>
      </c>
    </row>
    <row r="6" spans="1:7" ht="18" customHeight="1">
      <c r="A6" s="7" t="s">
        <v>87</v>
      </c>
      <c r="B6" s="11" t="s">
        <v>283</v>
      </c>
      <c r="C6" s="69">
        <v>7000000</v>
      </c>
      <c r="D6" s="69">
        <v>1419556</v>
      </c>
      <c r="E6" s="69">
        <v>13178000</v>
      </c>
      <c r="F6" s="14">
        <f t="shared" si="0"/>
        <v>188.25714285714287</v>
      </c>
      <c r="G6" s="14">
        <f t="shared" si="1"/>
        <v>20.27937142857143</v>
      </c>
    </row>
    <row r="7" spans="1:7" ht="18" customHeight="1">
      <c r="A7" s="7" t="s">
        <v>160</v>
      </c>
      <c r="B7" s="11" t="s">
        <v>284</v>
      </c>
      <c r="C7" s="90">
        <f>15000000+7500000</f>
        <v>22500000</v>
      </c>
      <c r="D7" s="90">
        <v>2496024</v>
      </c>
      <c r="E7" s="90">
        <v>17400000</v>
      </c>
      <c r="F7" s="14">
        <f t="shared" si="0"/>
        <v>77.33333333333333</v>
      </c>
      <c r="G7" s="14">
        <f t="shared" si="1"/>
        <v>11.093440000000001</v>
      </c>
    </row>
    <row r="8" spans="1:7" ht="18" customHeight="1">
      <c r="A8" s="7"/>
      <c r="B8" s="11"/>
      <c r="C8" s="90"/>
      <c r="D8" s="90"/>
      <c r="E8" s="90"/>
      <c r="F8" s="14"/>
      <c r="G8" s="14"/>
    </row>
    <row r="9" spans="1:7" ht="18" customHeight="1" thickBot="1">
      <c r="A9" s="70"/>
      <c r="B9" s="29" t="s">
        <v>189</v>
      </c>
      <c r="C9" s="30">
        <f>SUM(C4:C8)</f>
        <v>157500000</v>
      </c>
      <c r="D9" s="30">
        <f>SUM(D4:D8)</f>
        <v>22971623</v>
      </c>
      <c r="E9" s="30">
        <f>SUM(E4:E8)</f>
        <v>132033000</v>
      </c>
      <c r="F9" s="31">
        <f t="shared" si="0"/>
        <v>83.83047619047619</v>
      </c>
      <c r="G9" s="31">
        <f t="shared" si="1"/>
        <v>14.585157460317461</v>
      </c>
    </row>
    <row r="10" spans="3:7" ht="18" customHeight="1">
      <c r="C10" s="104"/>
      <c r="D10" s="104"/>
      <c r="E10" s="104"/>
      <c r="F10" s="86"/>
      <c r="G10" s="86"/>
    </row>
    <row r="11" spans="3:7" ht="18" customHeight="1">
      <c r="C11" s="91"/>
      <c r="D11" s="91"/>
      <c r="E11" s="91"/>
      <c r="F11" s="86"/>
      <c r="G11" s="86"/>
    </row>
    <row r="12" spans="6:7" ht="18" customHeight="1">
      <c r="F12" s="86"/>
      <c r="G12" s="86"/>
    </row>
    <row r="13" spans="6:7" ht="18" customHeight="1">
      <c r="F13" s="86"/>
      <c r="G13" s="86"/>
    </row>
    <row r="14" spans="6:7" ht="18" customHeight="1">
      <c r="F14" s="86"/>
      <c r="G14" s="86"/>
    </row>
    <row r="15" spans="6:7" ht="18" customHeight="1">
      <c r="F15" s="86"/>
      <c r="G15" s="86"/>
    </row>
    <row r="16" spans="6:7" ht="18" customHeight="1">
      <c r="F16" s="86"/>
      <c r="G16" s="86"/>
    </row>
    <row r="17" spans="6:7" ht="18" customHeight="1">
      <c r="F17" s="86"/>
      <c r="G17" s="86"/>
    </row>
    <row r="18" spans="6:7" ht="18" customHeight="1">
      <c r="F18" s="86"/>
      <c r="G18" s="86"/>
    </row>
    <row r="19" spans="6:7" ht="18" customHeight="1">
      <c r="F19" s="86"/>
      <c r="G19" s="86"/>
    </row>
    <row r="20" spans="6:7" ht="18" customHeight="1">
      <c r="F20" s="86"/>
      <c r="G20" s="86"/>
    </row>
    <row r="21" spans="6:7" ht="18" customHeight="1">
      <c r="F21" s="86"/>
      <c r="G21" s="86"/>
    </row>
    <row r="22" spans="6:7" ht="18" customHeight="1">
      <c r="F22" s="86"/>
      <c r="G22" s="86"/>
    </row>
    <row r="23" spans="6:7" ht="18" customHeight="1">
      <c r="F23" s="86"/>
      <c r="G23" s="86"/>
    </row>
    <row r="24" spans="6:7" ht="18" customHeight="1">
      <c r="F24" s="86"/>
      <c r="G24" s="86"/>
    </row>
    <row r="25" spans="6:7" ht="18" customHeight="1">
      <c r="F25" s="86"/>
      <c r="G25" s="86"/>
    </row>
    <row r="26" spans="6:7" ht="18" customHeight="1">
      <c r="F26" s="86"/>
      <c r="G26" s="86"/>
    </row>
    <row r="27" spans="6:7" ht="18" customHeight="1">
      <c r="F27" s="86"/>
      <c r="G27" s="86"/>
    </row>
    <row r="28" spans="6:7" ht="18" customHeight="1">
      <c r="F28" s="86"/>
      <c r="G28" s="86"/>
    </row>
    <row r="29" spans="6:7" ht="18" customHeight="1">
      <c r="F29" s="86"/>
      <c r="G29" s="86"/>
    </row>
    <row r="30" spans="6:7" ht="18" customHeight="1">
      <c r="F30" s="86"/>
      <c r="G30" s="86"/>
    </row>
    <row r="31" spans="6:7" ht="18" customHeight="1">
      <c r="F31" s="86"/>
      <c r="G31" s="86"/>
    </row>
  </sheetData>
  <printOptions/>
  <pageMargins left="0.38" right="0.17" top="1.19" bottom="0.99" header="0.38" footer="0.5511811023622047"/>
  <pageSetup firstPageNumber="15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pane xSplit="2" ySplit="2" topLeftCell="C3" activePane="bottomRight" state="frozen"/>
      <selection pane="topLeft" activeCell="F1" sqref="F1:G2"/>
      <selection pane="topRight" activeCell="F1" sqref="F1:G2"/>
      <selection pane="bottomLeft" activeCell="F1" sqref="F1:G2"/>
      <selection pane="bottomRight" activeCell="E9" sqref="E9"/>
    </sheetView>
  </sheetViews>
  <sheetFormatPr defaultColWidth="9.00390625" defaultRowHeight="18" customHeight="1"/>
  <cols>
    <col min="1" max="1" width="7.125" style="85" customWidth="1"/>
    <col min="2" max="2" width="46.625" style="18" customWidth="1"/>
    <col min="3" max="3" width="12.875" style="75" customWidth="1"/>
    <col min="4" max="4" width="12.875" style="75" bestFit="1" customWidth="1"/>
    <col min="5" max="5" width="12.875" style="75" customWidth="1"/>
    <col min="6" max="6" width="8.875" style="86" bestFit="1" customWidth="1"/>
    <col min="7" max="7" width="9.625" style="86" bestFit="1" customWidth="1"/>
    <col min="8" max="8" width="11.125" style="17" bestFit="1" customWidth="1"/>
    <col min="9" max="16384" width="9.125" style="17" customWidth="1"/>
  </cols>
  <sheetData>
    <row r="1" spans="1:7" ht="18" customHeight="1">
      <c r="A1" s="22" t="s">
        <v>29</v>
      </c>
      <c r="B1" s="23" t="s">
        <v>45</v>
      </c>
      <c r="C1" s="1" t="s">
        <v>325</v>
      </c>
      <c r="D1" s="111" t="s">
        <v>243</v>
      </c>
      <c r="E1" s="1" t="s">
        <v>326</v>
      </c>
      <c r="F1" s="121" t="s">
        <v>48</v>
      </c>
      <c r="G1" s="121" t="s">
        <v>48</v>
      </c>
    </row>
    <row r="2" spans="1:7" ht="18" customHeight="1" thickBot="1">
      <c r="A2" s="24" t="s">
        <v>174</v>
      </c>
      <c r="B2" s="25"/>
      <c r="C2" s="28">
        <v>2004</v>
      </c>
      <c r="D2" s="109">
        <v>38245</v>
      </c>
      <c r="E2" s="28">
        <v>2004</v>
      </c>
      <c r="F2" s="6" t="s">
        <v>327</v>
      </c>
      <c r="G2" s="6" t="s">
        <v>328</v>
      </c>
    </row>
    <row r="3" spans="1:8" ht="18" customHeight="1">
      <c r="A3" s="7" t="s">
        <v>97</v>
      </c>
      <c r="B3" s="11" t="s">
        <v>314</v>
      </c>
      <c r="C3" s="69">
        <f>6000000</f>
        <v>6000000</v>
      </c>
      <c r="D3" s="69">
        <v>2721003</v>
      </c>
      <c r="E3" s="69">
        <f>6000000+500000</f>
        <v>6500000</v>
      </c>
      <c r="F3" s="14">
        <f>IF(C3=0,"-",$E3/C3*100)</f>
        <v>108.33333333333333</v>
      </c>
      <c r="G3" s="14">
        <f>IF(C3=0,"-",$D3/C3*100)</f>
        <v>45.350049999999996</v>
      </c>
      <c r="H3" s="26">
        <f>SUM(D3:D5)</f>
        <v>6579819</v>
      </c>
    </row>
    <row r="4" spans="1:8" ht="18" customHeight="1">
      <c r="A4" s="7" t="s">
        <v>97</v>
      </c>
      <c r="B4" s="11" t="s">
        <v>343</v>
      </c>
      <c r="C4" s="69">
        <f>107000000-7000000-2000000-3000000</f>
        <v>95000000</v>
      </c>
      <c r="D4" s="69">
        <v>3503616</v>
      </c>
      <c r="E4" s="69">
        <f>107000000-7000000-2000000-3000000-89000000</f>
        <v>6000000</v>
      </c>
      <c r="F4" s="14">
        <f aca="true" t="shared" si="0" ref="F4:F32">IF(C4=0,"-",$E4/C4*100)</f>
        <v>6.315789473684211</v>
      </c>
      <c r="G4" s="14">
        <f aca="true" t="shared" si="1" ref="G4:G32">IF(C4=0,"-",$D4/C4*100)</f>
        <v>3.688016842105263</v>
      </c>
      <c r="H4" s="26"/>
    </row>
    <row r="5" spans="1:7" ht="18" customHeight="1">
      <c r="A5" s="7" t="s">
        <v>97</v>
      </c>
      <c r="B5" s="11" t="s">
        <v>204</v>
      </c>
      <c r="C5" s="69">
        <f>2000000+2000000</f>
        <v>4000000</v>
      </c>
      <c r="D5" s="69">
        <v>355200</v>
      </c>
      <c r="E5" s="69">
        <f>2000000+2000000</f>
        <v>4000000</v>
      </c>
      <c r="F5" s="14">
        <f t="shared" si="0"/>
        <v>100</v>
      </c>
      <c r="G5" s="14">
        <f t="shared" si="1"/>
        <v>8.88</v>
      </c>
    </row>
    <row r="6" spans="1:8" ht="18" customHeight="1">
      <c r="A6" s="7" t="s">
        <v>96</v>
      </c>
      <c r="B6" s="11" t="s">
        <v>205</v>
      </c>
      <c r="C6" s="69">
        <f>17000000+3000000</f>
        <v>20000000</v>
      </c>
      <c r="D6" s="69">
        <v>19853049</v>
      </c>
      <c r="E6" s="69">
        <f>17000000+3000000+3500000</f>
        <v>23500000</v>
      </c>
      <c r="F6" s="14">
        <f t="shared" si="0"/>
        <v>117.5</v>
      </c>
      <c r="G6" s="14">
        <f t="shared" si="1"/>
        <v>99.26524500000001</v>
      </c>
      <c r="H6" s="26">
        <f>SUM(D6:D7)</f>
        <v>20522265</v>
      </c>
    </row>
    <row r="7" spans="1:7" ht="18" customHeight="1">
      <c r="A7" s="7" t="s">
        <v>96</v>
      </c>
      <c r="B7" s="11" t="s">
        <v>206</v>
      </c>
      <c r="C7" s="69">
        <v>3000000</v>
      </c>
      <c r="D7" s="69">
        <v>669216</v>
      </c>
      <c r="E7" s="69">
        <v>3000000</v>
      </c>
      <c r="F7" s="14">
        <f t="shared" si="0"/>
        <v>100</v>
      </c>
      <c r="G7" s="14">
        <f t="shared" si="1"/>
        <v>22.307199999999998</v>
      </c>
    </row>
    <row r="8" spans="1:7" ht="18" customHeight="1">
      <c r="A8" s="7" t="s">
        <v>95</v>
      </c>
      <c r="B8" s="11" t="s">
        <v>344</v>
      </c>
      <c r="C8" s="69">
        <v>10000000</v>
      </c>
      <c r="D8" s="69">
        <v>744000</v>
      </c>
      <c r="E8" s="69">
        <f>10000000+9100000</f>
        <v>19100000</v>
      </c>
      <c r="F8" s="14">
        <f t="shared" si="0"/>
        <v>191</v>
      </c>
      <c r="G8" s="14">
        <f t="shared" si="1"/>
        <v>7.4399999999999995</v>
      </c>
    </row>
    <row r="9" spans="1:7" ht="18" customHeight="1">
      <c r="A9" s="7" t="s">
        <v>94</v>
      </c>
      <c r="B9" s="11" t="s">
        <v>207</v>
      </c>
      <c r="C9" s="69">
        <f>20000000+7000000</f>
        <v>27000000</v>
      </c>
      <c r="D9" s="69">
        <v>15666667</v>
      </c>
      <c r="E9" s="69">
        <f>20000000+7000000</f>
        <v>27000000</v>
      </c>
      <c r="F9" s="14">
        <f t="shared" si="0"/>
        <v>100</v>
      </c>
      <c r="G9" s="14">
        <f t="shared" si="1"/>
        <v>58.0246925925926</v>
      </c>
    </row>
    <row r="10" spans="1:7" ht="18" customHeight="1">
      <c r="A10" s="7" t="s">
        <v>93</v>
      </c>
      <c r="B10" s="11" t="s">
        <v>208</v>
      </c>
      <c r="C10" s="69">
        <v>3000000</v>
      </c>
      <c r="D10" s="69">
        <v>3000000</v>
      </c>
      <c r="E10" s="69">
        <v>3000000</v>
      </c>
      <c r="F10" s="14">
        <f t="shared" si="0"/>
        <v>100</v>
      </c>
      <c r="G10" s="14">
        <f t="shared" si="1"/>
        <v>100</v>
      </c>
    </row>
    <row r="11" spans="1:8" ht="18" customHeight="1">
      <c r="A11" s="7" t="s">
        <v>92</v>
      </c>
      <c r="B11" s="11" t="s">
        <v>237</v>
      </c>
      <c r="C11" s="69">
        <f>10000000+3000000-2000000</f>
        <v>11000000</v>
      </c>
      <c r="D11" s="69">
        <v>10373948</v>
      </c>
      <c r="E11" s="69">
        <f>10000000+3000000-2000000</f>
        <v>11000000</v>
      </c>
      <c r="F11" s="14">
        <f t="shared" si="0"/>
        <v>100</v>
      </c>
      <c r="G11" s="14">
        <f t="shared" si="1"/>
        <v>94.30861818181818</v>
      </c>
      <c r="H11" s="26">
        <f>SUM(D11:D12)</f>
        <v>10517948</v>
      </c>
    </row>
    <row r="12" spans="1:7" ht="18" customHeight="1">
      <c r="A12" s="7" t="s">
        <v>92</v>
      </c>
      <c r="B12" s="11" t="s">
        <v>288</v>
      </c>
      <c r="C12" s="69">
        <v>3500000</v>
      </c>
      <c r="D12" s="69">
        <v>144000</v>
      </c>
      <c r="E12" s="69">
        <f>3500000+1500000</f>
        <v>5000000</v>
      </c>
      <c r="F12" s="14">
        <f t="shared" si="0"/>
        <v>142.85714285714286</v>
      </c>
      <c r="G12" s="14">
        <f t="shared" si="1"/>
        <v>4.114285714285714</v>
      </c>
    </row>
    <row r="13" spans="1:7" ht="18" customHeight="1">
      <c r="A13" s="7" t="s">
        <v>90</v>
      </c>
      <c r="B13" s="11" t="s">
        <v>293</v>
      </c>
      <c r="C13" s="69">
        <v>3000000</v>
      </c>
      <c r="D13" s="69"/>
      <c r="E13" s="69">
        <v>3000000</v>
      </c>
      <c r="F13" s="14">
        <f t="shared" si="0"/>
        <v>100</v>
      </c>
      <c r="G13" s="14">
        <f t="shared" si="1"/>
        <v>0</v>
      </c>
    </row>
    <row r="14" spans="1:7" ht="18" customHeight="1">
      <c r="A14" s="7" t="s">
        <v>91</v>
      </c>
      <c r="B14" s="11" t="s">
        <v>192</v>
      </c>
      <c r="C14" s="69">
        <v>4000000</v>
      </c>
      <c r="D14" s="69">
        <v>3500847</v>
      </c>
      <c r="E14" s="69">
        <v>4000000</v>
      </c>
      <c r="F14" s="14">
        <f t="shared" si="0"/>
        <v>100</v>
      </c>
      <c r="G14" s="14">
        <f t="shared" si="1"/>
        <v>87.521175</v>
      </c>
    </row>
    <row r="15" spans="1:8" ht="18" customHeight="1">
      <c r="A15" s="7" t="s">
        <v>136</v>
      </c>
      <c r="B15" s="11" t="s">
        <v>345</v>
      </c>
      <c r="C15" s="69">
        <f>8000000+6000000</f>
        <v>14000000</v>
      </c>
      <c r="D15" s="69">
        <v>11287991</v>
      </c>
      <c r="E15" s="69">
        <f>8000000+6000000</f>
        <v>14000000</v>
      </c>
      <c r="F15" s="14">
        <f t="shared" si="0"/>
        <v>100</v>
      </c>
      <c r="G15" s="14">
        <f t="shared" si="1"/>
        <v>80.62850714285715</v>
      </c>
      <c r="H15" s="26">
        <f>SUM(D15:D15)</f>
        <v>11287991</v>
      </c>
    </row>
    <row r="16" spans="1:7" ht="18" customHeight="1">
      <c r="A16" s="7" t="s">
        <v>137</v>
      </c>
      <c r="B16" s="11" t="s">
        <v>346</v>
      </c>
      <c r="C16" s="69">
        <v>10000000</v>
      </c>
      <c r="D16" s="69">
        <v>5655693</v>
      </c>
      <c r="E16" s="69">
        <v>10000000</v>
      </c>
      <c r="F16" s="14">
        <f t="shared" si="0"/>
        <v>100</v>
      </c>
      <c r="G16" s="14">
        <f t="shared" si="1"/>
        <v>56.55693000000001</v>
      </c>
    </row>
    <row r="17" spans="1:8" ht="18" customHeight="1">
      <c r="A17" s="7" t="s">
        <v>138</v>
      </c>
      <c r="B17" s="11" t="s">
        <v>270</v>
      </c>
      <c r="C17" s="69">
        <v>7000000</v>
      </c>
      <c r="D17" s="69">
        <v>5000000</v>
      </c>
      <c r="E17" s="69">
        <v>7000000</v>
      </c>
      <c r="F17" s="14">
        <f t="shared" si="0"/>
        <v>100</v>
      </c>
      <c r="G17" s="14">
        <f t="shared" si="1"/>
        <v>71.42857142857143</v>
      </c>
      <c r="H17" s="26">
        <f>SUM(D17:D19)</f>
        <v>33534187</v>
      </c>
    </row>
    <row r="18" spans="1:8" ht="18" customHeight="1">
      <c r="A18" s="7" t="s">
        <v>138</v>
      </c>
      <c r="B18" s="11" t="s">
        <v>347</v>
      </c>
      <c r="C18" s="69">
        <v>29340000</v>
      </c>
      <c r="D18" s="69">
        <v>25708187</v>
      </c>
      <c r="E18" s="69">
        <v>29340000</v>
      </c>
      <c r="F18" s="14">
        <f t="shared" si="0"/>
        <v>100</v>
      </c>
      <c r="G18" s="14">
        <f t="shared" si="1"/>
        <v>87.62163258350375</v>
      </c>
      <c r="H18" s="26"/>
    </row>
    <row r="19" spans="1:8" ht="18" customHeight="1">
      <c r="A19" s="7" t="s">
        <v>138</v>
      </c>
      <c r="B19" s="11" t="s">
        <v>348</v>
      </c>
      <c r="C19" s="69">
        <v>40000000</v>
      </c>
      <c r="D19" s="69">
        <v>2826000</v>
      </c>
      <c r="E19" s="69">
        <v>40000000</v>
      </c>
      <c r="F19" s="14">
        <f t="shared" si="0"/>
        <v>100</v>
      </c>
      <c r="G19" s="14">
        <f t="shared" si="1"/>
        <v>7.065</v>
      </c>
      <c r="H19" s="26"/>
    </row>
    <row r="20" spans="1:7" ht="18" customHeight="1">
      <c r="A20" s="7" t="s">
        <v>142</v>
      </c>
      <c r="B20" s="11" t="s">
        <v>349</v>
      </c>
      <c r="C20" s="69">
        <f>5000000+1000000</f>
        <v>6000000</v>
      </c>
      <c r="D20" s="69"/>
      <c r="E20" s="69">
        <f>5000000+1000000+3000000</f>
        <v>9000000</v>
      </c>
      <c r="F20" s="14">
        <f t="shared" si="0"/>
        <v>150</v>
      </c>
      <c r="G20" s="14">
        <f t="shared" si="1"/>
        <v>0</v>
      </c>
    </row>
    <row r="21" spans="1:7" ht="18" customHeight="1">
      <c r="A21" s="7" t="s">
        <v>143</v>
      </c>
      <c r="B21" s="11" t="s">
        <v>209</v>
      </c>
      <c r="C21" s="69">
        <v>2000000</v>
      </c>
      <c r="D21" s="69">
        <v>1432697</v>
      </c>
      <c r="E21" s="69">
        <v>2000000</v>
      </c>
      <c r="F21" s="14">
        <f t="shared" si="0"/>
        <v>100</v>
      </c>
      <c r="G21" s="14">
        <f t="shared" si="1"/>
        <v>71.63485</v>
      </c>
    </row>
    <row r="22" spans="1:7" ht="18" customHeight="1">
      <c r="A22" s="7" t="s">
        <v>271</v>
      </c>
      <c r="B22" s="11" t="s">
        <v>272</v>
      </c>
      <c r="C22" s="69">
        <v>30000000</v>
      </c>
      <c r="D22" s="69">
        <v>564000</v>
      </c>
      <c r="E22" s="69">
        <v>30000000</v>
      </c>
      <c r="F22" s="14">
        <f t="shared" si="0"/>
        <v>100</v>
      </c>
      <c r="G22" s="14">
        <f t="shared" si="1"/>
        <v>1.8800000000000001</v>
      </c>
    </row>
    <row r="23" spans="1:7" ht="18" customHeight="1">
      <c r="A23" s="7" t="s">
        <v>275</v>
      </c>
      <c r="B23" s="11" t="s">
        <v>276</v>
      </c>
      <c r="C23" s="69">
        <f>5000000-1000000</f>
        <v>4000000</v>
      </c>
      <c r="D23" s="69"/>
      <c r="E23" s="69">
        <f>5000000-1000000</f>
        <v>4000000</v>
      </c>
      <c r="F23" s="14">
        <f t="shared" si="0"/>
        <v>100</v>
      </c>
      <c r="G23" s="14">
        <f t="shared" si="1"/>
        <v>0</v>
      </c>
    </row>
    <row r="24" spans="1:7" ht="18" customHeight="1">
      <c r="A24" s="7" t="s">
        <v>310</v>
      </c>
      <c r="B24" s="11" t="s">
        <v>317</v>
      </c>
      <c r="C24" s="69">
        <v>40000000</v>
      </c>
      <c r="D24" s="69">
        <v>2700218</v>
      </c>
      <c r="E24" s="69">
        <v>40000000</v>
      </c>
      <c r="F24" s="14">
        <f t="shared" si="0"/>
        <v>100</v>
      </c>
      <c r="G24" s="14">
        <f t="shared" si="1"/>
        <v>6.750545</v>
      </c>
    </row>
    <row r="25" spans="1:7" ht="18" customHeight="1">
      <c r="A25" s="7"/>
      <c r="B25" s="11"/>
      <c r="C25" s="69"/>
      <c r="D25" s="69"/>
      <c r="E25" s="69"/>
      <c r="F25" s="14" t="str">
        <f t="shared" si="0"/>
        <v>-</v>
      </c>
      <c r="G25" s="14" t="str">
        <f t="shared" si="1"/>
        <v>-</v>
      </c>
    </row>
    <row r="26" spans="1:7" ht="18" customHeight="1" thickBot="1">
      <c r="A26" s="13"/>
      <c r="B26" s="82" t="s">
        <v>191</v>
      </c>
      <c r="C26" s="30">
        <f>SUM(C3:C25)</f>
        <v>371840000</v>
      </c>
      <c r="D26" s="30">
        <f>SUM(D3:D25)</f>
        <v>115706332</v>
      </c>
      <c r="E26" s="30">
        <f>SUM(E3:E25)</f>
        <v>300440000</v>
      </c>
      <c r="F26" s="31">
        <f t="shared" si="0"/>
        <v>80.79819277108435</v>
      </c>
      <c r="G26" s="31">
        <f t="shared" si="1"/>
        <v>31.11723644578313</v>
      </c>
    </row>
    <row r="27" spans="1:7" ht="18" customHeight="1">
      <c r="A27" s="83"/>
      <c r="B27" s="84" t="s">
        <v>44</v>
      </c>
      <c r="C27" s="69"/>
      <c r="D27" s="69"/>
      <c r="E27" s="69"/>
      <c r="F27" s="14" t="str">
        <f t="shared" si="0"/>
        <v>-</v>
      </c>
      <c r="G27" s="14" t="str">
        <f t="shared" si="1"/>
        <v>-</v>
      </c>
    </row>
    <row r="28" spans="1:7" ht="18" customHeight="1">
      <c r="A28" s="7"/>
      <c r="B28" s="11" t="s">
        <v>329</v>
      </c>
      <c r="C28" s="12">
        <v>0</v>
      </c>
      <c r="D28" s="12">
        <v>0</v>
      </c>
      <c r="E28" s="12">
        <v>0</v>
      </c>
      <c r="F28" s="14" t="str">
        <f t="shared" si="0"/>
        <v>-</v>
      </c>
      <c r="G28" s="14" t="str">
        <f t="shared" si="1"/>
        <v>-</v>
      </c>
    </row>
    <row r="29" spans="1:7" ht="18" customHeight="1">
      <c r="A29" s="7" t="s">
        <v>90</v>
      </c>
      <c r="B29" s="11" t="s">
        <v>294</v>
      </c>
      <c r="C29" s="69">
        <v>25000000</v>
      </c>
      <c r="D29" s="69"/>
      <c r="E29" s="69">
        <v>25000000</v>
      </c>
      <c r="F29" s="14">
        <f t="shared" si="0"/>
        <v>100</v>
      </c>
      <c r="G29" s="14">
        <f t="shared" si="1"/>
        <v>0</v>
      </c>
    </row>
    <row r="30" spans="1:7" ht="18" customHeight="1">
      <c r="A30" s="7"/>
      <c r="B30" s="11"/>
      <c r="C30" s="69"/>
      <c r="D30" s="69"/>
      <c r="E30" s="69"/>
      <c r="F30" s="14"/>
      <c r="G30" s="14"/>
    </row>
    <row r="31" spans="1:7" ht="18" customHeight="1" thickBot="1">
      <c r="A31" s="70"/>
      <c r="B31" s="29" t="s">
        <v>191</v>
      </c>
      <c r="C31" s="30">
        <f>SUM(C28:C30)</f>
        <v>25000000</v>
      </c>
      <c r="D31" s="30">
        <f>SUM(D28:D30)</f>
        <v>0</v>
      </c>
      <c r="E31" s="30">
        <f>SUM(E28:E30)</f>
        <v>25000000</v>
      </c>
      <c r="F31" s="31">
        <f t="shared" si="0"/>
        <v>100</v>
      </c>
      <c r="G31" s="31">
        <f t="shared" si="1"/>
        <v>0</v>
      </c>
    </row>
    <row r="32" spans="1:7" ht="18" customHeight="1" thickBot="1">
      <c r="A32" s="71"/>
      <c r="B32" s="118" t="s">
        <v>189</v>
      </c>
      <c r="C32" s="72">
        <f>+C26+C31</f>
        <v>396840000</v>
      </c>
      <c r="D32" s="72">
        <f>+D26+D31</f>
        <v>115706332</v>
      </c>
      <c r="E32" s="72">
        <f>+E26+E31</f>
        <v>325440000</v>
      </c>
      <c r="F32" s="119">
        <f t="shared" si="0"/>
        <v>82.00786211067432</v>
      </c>
      <c r="G32" s="119">
        <f t="shared" si="1"/>
        <v>29.156922689245036</v>
      </c>
    </row>
    <row r="33" ht="13.5" customHeight="1"/>
  </sheetData>
  <printOptions/>
  <pageMargins left="0.27" right="0.17" top="1.17" bottom="0.58" header="0.38" footer="0.32"/>
  <pageSetup firstPageNumber="16" useFirstPageNumber="1" horizontalDpi="360" verticalDpi="360" orientation="portrait" paperSize="9" scale="92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xSplit="2" ySplit="2" topLeftCell="C18" activePane="bottomRight" state="frozen"/>
      <selection pane="topLeft" activeCell="F1" sqref="F1:G2"/>
      <selection pane="topRight" activeCell="F1" sqref="F1:G2"/>
      <selection pane="bottomLeft" activeCell="F1" sqref="F1:G2"/>
      <selection pane="bottomRight" activeCell="E23" sqref="E23"/>
    </sheetView>
  </sheetViews>
  <sheetFormatPr defaultColWidth="11.00390625" defaultRowHeight="18" customHeight="1"/>
  <cols>
    <col min="1" max="1" width="7.125" style="16" customWidth="1"/>
    <col min="2" max="2" width="42.00390625" style="18" customWidth="1"/>
    <col min="3" max="3" width="12.875" style="20" customWidth="1"/>
    <col min="4" max="4" width="12.875" style="20" bestFit="1" customWidth="1"/>
    <col min="5" max="5" width="12.875" style="20" customWidth="1"/>
    <col min="6" max="6" width="9.625" style="20" customWidth="1"/>
    <col min="7" max="7" width="9.625" style="20" bestFit="1" customWidth="1"/>
    <col min="8" max="8" width="11.125" style="17" bestFit="1" customWidth="1"/>
    <col min="9" max="16384" width="11.00390625" style="17" customWidth="1"/>
  </cols>
  <sheetData>
    <row r="1" spans="1:7" s="79" customFormat="1" ht="18" customHeight="1">
      <c r="A1" s="22" t="s">
        <v>29</v>
      </c>
      <c r="B1" s="23" t="s">
        <v>45</v>
      </c>
      <c r="C1" s="1" t="s">
        <v>325</v>
      </c>
      <c r="D1" s="111" t="s">
        <v>243</v>
      </c>
      <c r="E1" s="1" t="s">
        <v>326</v>
      </c>
      <c r="F1" s="122" t="s">
        <v>48</v>
      </c>
      <c r="G1" s="121" t="s">
        <v>48</v>
      </c>
    </row>
    <row r="2" spans="1:8" s="79" customFormat="1" ht="18" customHeight="1" thickBot="1">
      <c r="A2" s="24" t="s">
        <v>174</v>
      </c>
      <c r="B2" s="25" t="s">
        <v>24</v>
      </c>
      <c r="C2" s="28">
        <v>2004</v>
      </c>
      <c r="D2" s="109">
        <v>38245</v>
      </c>
      <c r="E2" s="28">
        <v>2004</v>
      </c>
      <c r="F2" s="6" t="s">
        <v>327</v>
      </c>
      <c r="G2" s="6" t="s">
        <v>328</v>
      </c>
      <c r="H2" s="80"/>
    </row>
    <row r="3" spans="1:7" ht="18" customHeight="1">
      <c r="A3" s="81" t="s">
        <v>119</v>
      </c>
      <c r="B3" s="35" t="s">
        <v>30</v>
      </c>
      <c r="C3" s="36">
        <v>2733000</v>
      </c>
      <c r="D3" s="36">
        <v>1268384</v>
      </c>
      <c r="E3" s="36">
        <v>2733000</v>
      </c>
      <c r="F3" s="14">
        <f>IF(C3=0,"-",$E3/C3*100)</f>
        <v>100</v>
      </c>
      <c r="G3" s="14">
        <f>IF(C3=0,"-",$D3/C3*100)</f>
        <v>46.40995243322356</v>
      </c>
    </row>
    <row r="4" spans="1:7" ht="18" customHeight="1">
      <c r="A4" s="27" t="s">
        <v>118</v>
      </c>
      <c r="B4" s="35" t="s">
        <v>147</v>
      </c>
      <c r="C4" s="36">
        <v>75110000</v>
      </c>
      <c r="D4" s="36">
        <v>61114086</v>
      </c>
      <c r="E4" s="36">
        <f>75110000+6000000</f>
        <v>81110000</v>
      </c>
      <c r="F4" s="14">
        <f aca="true" t="shared" si="0" ref="F4:F24">IF(C4=0,"-",$E4/C4*100)</f>
        <v>107.98828385035281</v>
      </c>
      <c r="G4" s="14">
        <f aca="true" t="shared" si="1" ref="G4:G24">IF(C4=0,"-",$D4/C4*100)</f>
        <v>81.36611103714552</v>
      </c>
    </row>
    <row r="5" spans="1:7" ht="18" customHeight="1">
      <c r="A5" s="44" t="s">
        <v>117</v>
      </c>
      <c r="B5" s="35" t="s">
        <v>148</v>
      </c>
      <c r="C5" s="36">
        <v>7000000</v>
      </c>
      <c r="D5" s="36">
        <v>3784140</v>
      </c>
      <c r="E5" s="36">
        <v>7000000</v>
      </c>
      <c r="F5" s="14">
        <f t="shared" si="0"/>
        <v>100</v>
      </c>
      <c r="G5" s="14">
        <f t="shared" si="1"/>
        <v>54.05914285714286</v>
      </c>
    </row>
    <row r="6" spans="1:7" ht="18" customHeight="1">
      <c r="A6" s="27" t="s">
        <v>176</v>
      </c>
      <c r="B6" s="35" t="s">
        <v>187</v>
      </c>
      <c r="C6" s="36">
        <v>4248764</v>
      </c>
      <c r="D6" s="36">
        <v>2855641</v>
      </c>
      <c r="E6" s="36">
        <v>4248764</v>
      </c>
      <c r="F6" s="14">
        <f t="shared" si="0"/>
        <v>100</v>
      </c>
      <c r="G6" s="14">
        <f t="shared" si="1"/>
        <v>67.21109951035172</v>
      </c>
    </row>
    <row r="7" spans="1:7" ht="18" customHeight="1">
      <c r="A7" s="27" t="s">
        <v>116</v>
      </c>
      <c r="B7" s="35" t="s">
        <v>250</v>
      </c>
      <c r="C7" s="36">
        <v>6680000</v>
      </c>
      <c r="D7" s="36">
        <v>4453335</v>
      </c>
      <c r="E7" s="36">
        <v>6680000</v>
      </c>
      <c r="F7" s="14">
        <f t="shared" si="0"/>
        <v>100</v>
      </c>
      <c r="G7" s="14">
        <f t="shared" si="1"/>
        <v>66.66669161676647</v>
      </c>
    </row>
    <row r="8" spans="1:8" ht="18" customHeight="1">
      <c r="A8" s="27" t="s">
        <v>115</v>
      </c>
      <c r="B8" s="11" t="s">
        <v>231</v>
      </c>
      <c r="C8" s="36">
        <v>12000000</v>
      </c>
      <c r="D8" s="36">
        <v>3564530</v>
      </c>
      <c r="E8" s="36">
        <v>12000000</v>
      </c>
      <c r="F8" s="14">
        <f t="shared" si="0"/>
        <v>100</v>
      </c>
      <c r="G8" s="14">
        <f t="shared" si="1"/>
        <v>29.704416666666667</v>
      </c>
      <c r="H8" s="26">
        <f>SUM(D8:D10)</f>
        <v>56837005</v>
      </c>
    </row>
    <row r="9" spans="1:7" ht="18" customHeight="1">
      <c r="A9" s="27" t="s">
        <v>115</v>
      </c>
      <c r="B9" s="11" t="s">
        <v>149</v>
      </c>
      <c r="C9" s="36">
        <v>9360000</v>
      </c>
      <c r="D9" s="36">
        <v>4680000</v>
      </c>
      <c r="E9" s="36">
        <v>9360000</v>
      </c>
      <c r="F9" s="14">
        <f t="shared" si="0"/>
        <v>100</v>
      </c>
      <c r="G9" s="14">
        <f t="shared" si="1"/>
        <v>50</v>
      </c>
    </row>
    <row r="10" spans="1:7" ht="18" customHeight="1">
      <c r="A10" s="27" t="s">
        <v>115</v>
      </c>
      <c r="B10" s="11" t="s">
        <v>279</v>
      </c>
      <c r="C10" s="36">
        <v>64000000</v>
      </c>
      <c r="D10" s="36">
        <v>48592475</v>
      </c>
      <c r="E10" s="36">
        <v>64000000</v>
      </c>
      <c r="F10" s="14">
        <f t="shared" si="0"/>
        <v>100</v>
      </c>
      <c r="G10" s="14">
        <f t="shared" si="1"/>
        <v>75.9257421875</v>
      </c>
    </row>
    <row r="11" spans="1:8" ht="18" customHeight="1">
      <c r="A11" s="27" t="s">
        <v>114</v>
      </c>
      <c r="B11" s="35" t="s">
        <v>304</v>
      </c>
      <c r="C11" s="36">
        <v>129000000</v>
      </c>
      <c r="D11" s="36">
        <v>87585318</v>
      </c>
      <c r="E11" s="36">
        <v>135140000</v>
      </c>
      <c r="F11" s="14">
        <f t="shared" si="0"/>
        <v>104.75968992248062</v>
      </c>
      <c r="G11" s="14">
        <f t="shared" si="1"/>
        <v>67.89559534883722</v>
      </c>
      <c r="H11" s="26">
        <f>SUM(D11:D13)</f>
        <v>135060756</v>
      </c>
    </row>
    <row r="12" spans="1:9" ht="18" customHeight="1">
      <c r="A12" s="27" t="s">
        <v>114</v>
      </c>
      <c r="B12" s="35" t="s">
        <v>211</v>
      </c>
      <c r="C12" s="36">
        <v>17000000</v>
      </c>
      <c r="D12" s="36">
        <v>11586989</v>
      </c>
      <c r="E12" s="36">
        <v>17970000</v>
      </c>
      <c r="F12" s="14">
        <f t="shared" si="0"/>
        <v>105.70588235294119</v>
      </c>
      <c r="G12" s="14">
        <f t="shared" si="1"/>
        <v>68.15875882352941</v>
      </c>
      <c r="H12" s="26"/>
      <c r="I12" s="26"/>
    </row>
    <row r="13" spans="1:8" ht="18" customHeight="1">
      <c r="A13" s="27" t="s">
        <v>114</v>
      </c>
      <c r="B13" s="35" t="s">
        <v>212</v>
      </c>
      <c r="C13" s="36">
        <v>50886134</v>
      </c>
      <c r="D13" s="36">
        <v>35888449</v>
      </c>
      <c r="E13" s="36">
        <v>48630000</v>
      </c>
      <c r="F13" s="14">
        <f t="shared" si="0"/>
        <v>95.56630888878294</v>
      </c>
      <c r="G13" s="14">
        <f t="shared" si="1"/>
        <v>70.52697106052506</v>
      </c>
      <c r="H13" s="26"/>
    </row>
    <row r="14" spans="1:7" ht="18" customHeight="1">
      <c r="A14" s="27" t="s">
        <v>114</v>
      </c>
      <c r="B14" s="35" t="s">
        <v>302</v>
      </c>
      <c r="C14" s="36">
        <v>5100000</v>
      </c>
      <c r="D14" s="36">
        <v>2127288</v>
      </c>
      <c r="E14" s="36">
        <v>3590000</v>
      </c>
      <c r="F14" s="14">
        <f t="shared" si="0"/>
        <v>70.3921568627451</v>
      </c>
      <c r="G14" s="14">
        <f t="shared" si="1"/>
        <v>41.71152941176471</v>
      </c>
    </row>
    <row r="15" spans="1:7" ht="18" customHeight="1">
      <c r="A15" s="27" t="s">
        <v>114</v>
      </c>
      <c r="B15" s="35" t="s">
        <v>303</v>
      </c>
      <c r="C15" s="36">
        <v>2100000</v>
      </c>
      <c r="D15" s="36"/>
      <c r="E15" s="36">
        <v>2970000</v>
      </c>
      <c r="F15" s="14">
        <f t="shared" si="0"/>
        <v>141.42857142857144</v>
      </c>
      <c r="G15" s="14">
        <f t="shared" si="1"/>
        <v>0</v>
      </c>
    </row>
    <row r="16" spans="1:7" ht="18" customHeight="1">
      <c r="A16" s="44" t="s">
        <v>113</v>
      </c>
      <c r="B16" s="11" t="s">
        <v>188</v>
      </c>
      <c r="C16" s="36">
        <v>100000000</v>
      </c>
      <c r="D16" s="36">
        <v>19354516</v>
      </c>
      <c r="E16" s="36">
        <f>100000000+3800000</f>
        <v>103800000</v>
      </c>
      <c r="F16" s="14">
        <f t="shared" si="0"/>
        <v>103.8</v>
      </c>
      <c r="G16" s="14">
        <f t="shared" si="1"/>
        <v>19.354516</v>
      </c>
    </row>
    <row r="17" spans="1:7" ht="18" customHeight="1">
      <c r="A17" s="44" t="s">
        <v>112</v>
      </c>
      <c r="B17" s="35" t="s">
        <v>203</v>
      </c>
      <c r="C17" s="36">
        <v>5000000</v>
      </c>
      <c r="D17" s="36">
        <v>2500000</v>
      </c>
      <c r="E17" s="36">
        <v>5000000</v>
      </c>
      <c r="F17" s="14">
        <f t="shared" si="0"/>
        <v>100</v>
      </c>
      <c r="G17" s="14">
        <f t="shared" si="1"/>
        <v>50</v>
      </c>
    </row>
    <row r="18" spans="1:8" ht="18" customHeight="1">
      <c r="A18" s="44" t="s">
        <v>111</v>
      </c>
      <c r="B18" s="35" t="s">
        <v>251</v>
      </c>
      <c r="C18" s="36">
        <f>250000000-90000000</f>
        <v>160000000</v>
      </c>
      <c r="D18" s="36">
        <v>1189827</v>
      </c>
      <c r="E18" s="36">
        <f>250000000-90000000-157000000</f>
        <v>3000000</v>
      </c>
      <c r="F18" s="14">
        <f t="shared" si="0"/>
        <v>1.875</v>
      </c>
      <c r="G18" s="14">
        <f t="shared" si="1"/>
        <v>0.743641875</v>
      </c>
      <c r="H18" s="26">
        <f>SUM(D18:D19)</f>
        <v>3189827</v>
      </c>
    </row>
    <row r="19" spans="1:7" ht="18" customHeight="1">
      <c r="A19" s="44" t="s">
        <v>111</v>
      </c>
      <c r="B19" s="11" t="s">
        <v>213</v>
      </c>
      <c r="C19" s="36">
        <v>2000000</v>
      </c>
      <c r="D19" s="36">
        <v>2000000</v>
      </c>
      <c r="E19" s="36">
        <v>2000000</v>
      </c>
      <c r="F19" s="14">
        <f t="shared" si="0"/>
        <v>100</v>
      </c>
      <c r="G19" s="14">
        <f t="shared" si="1"/>
        <v>100</v>
      </c>
    </row>
    <row r="20" spans="1:7" ht="18" customHeight="1">
      <c r="A20" s="44" t="s">
        <v>151</v>
      </c>
      <c r="B20" s="11" t="s">
        <v>150</v>
      </c>
      <c r="C20" s="36">
        <v>8000000</v>
      </c>
      <c r="D20" s="36">
        <v>4110295</v>
      </c>
      <c r="E20" s="36">
        <f>8000000-1000000</f>
        <v>7000000</v>
      </c>
      <c r="F20" s="14">
        <f t="shared" si="0"/>
        <v>87.5</v>
      </c>
      <c r="G20" s="14">
        <f t="shared" si="1"/>
        <v>51.3786875</v>
      </c>
    </row>
    <row r="21" spans="1:7" ht="18" customHeight="1">
      <c r="A21" s="44" t="s">
        <v>267</v>
      </c>
      <c r="B21" s="11" t="s">
        <v>268</v>
      </c>
      <c r="C21" s="36">
        <v>1043000</v>
      </c>
      <c r="D21" s="36"/>
      <c r="E21" s="36">
        <v>1043000</v>
      </c>
      <c r="F21" s="14">
        <f t="shared" si="0"/>
        <v>100</v>
      </c>
      <c r="G21" s="14">
        <f t="shared" si="1"/>
        <v>0</v>
      </c>
    </row>
    <row r="22" spans="1:7" ht="18" customHeight="1">
      <c r="A22" s="44" t="s">
        <v>369</v>
      </c>
      <c r="B22" s="11" t="s">
        <v>362</v>
      </c>
      <c r="C22" s="36"/>
      <c r="D22" s="36"/>
      <c r="E22" s="36">
        <v>17000000</v>
      </c>
      <c r="F22" s="14" t="str">
        <f t="shared" si="0"/>
        <v>-</v>
      </c>
      <c r="G22" s="14" t="str">
        <f t="shared" si="1"/>
        <v>-</v>
      </c>
    </row>
    <row r="23" spans="1:7" ht="18" customHeight="1">
      <c r="A23" s="44"/>
      <c r="B23" s="11"/>
      <c r="C23" s="36"/>
      <c r="D23" s="36"/>
      <c r="E23" s="36"/>
      <c r="F23" s="14"/>
      <c r="G23" s="14"/>
    </row>
    <row r="24" spans="1:7" ht="18" customHeight="1" thickBot="1">
      <c r="A24" s="3"/>
      <c r="B24" s="29" t="s">
        <v>191</v>
      </c>
      <c r="C24" s="37">
        <f>SUM(C3:C23)</f>
        <v>661260898</v>
      </c>
      <c r="D24" s="37">
        <f>SUM(D3:D23)</f>
        <v>296655273</v>
      </c>
      <c r="E24" s="37">
        <f>SUM(E3:E23)</f>
        <v>534274764</v>
      </c>
      <c r="F24" s="31">
        <f t="shared" si="0"/>
        <v>80.79636428162125</v>
      </c>
      <c r="G24" s="31">
        <f t="shared" si="1"/>
        <v>44.86206184234411</v>
      </c>
    </row>
    <row r="25" spans="3:7" ht="18" customHeight="1">
      <c r="C25" s="77"/>
      <c r="D25" s="77"/>
      <c r="E25" s="77"/>
      <c r="F25" s="77"/>
      <c r="G25" s="77"/>
    </row>
    <row r="26" spans="3:7" ht="18" customHeight="1">
      <c r="C26" s="77"/>
      <c r="D26" s="77"/>
      <c r="E26" s="77"/>
      <c r="F26" s="77"/>
      <c r="G26" s="77"/>
    </row>
    <row r="27" spans="3:7" ht="18" customHeight="1">
      <c r="C27" s="77"/>
      <c r="D27" s="77"/>
      <c r="E27" s="77"/>
      <c r="F27" s="77"/>
      <c r="G27" s="77"/>
    </row>
    <row r="28" spans="3:7" ht="18" customHeight="1">
      <c r="C28" s="77"/>
      <c r="D28" s="77"/>
      <c r="E28" s="77"/>
      <c r="F28" s="77"/>
      <c r="G28" s="77"/>
    </row>
    <row r="29" spans="3:7" ht="18" customHeight="1">
      <c r="C29" s="77"/>
      <c r="D29" s="77"/>
      <c r="E29" s="77"/>
      <c r="F29" s="77"/>
      <c r="G29" s="77"/>
    </row>
    <row r="30" spans="3:7" ht="18" customHeight="1">
      <c r="C30" s="77"/>
      <c r="D30" s="77"/>
      <c r="E30" s="77"/>
      <c r="F30" s="77"/>
      <c r="G30" s="77"/>
    </row>
    <row r="31" spans="2:7" ht="18" customHeight="1">
      <c r="B31" s="21"/>
      <c r="C31" s="78"/>
      <c r="D31" s="78"/>
      <c r="E31" s="78"/>
      <c r="F31" s="78"/>
      <c r="G31" s="78"/>
    </row>
    <row r="32" spans="2:7" ht="18" customHeight="1">
      <c r="B32" s="21"/>
      <c r="C32" s="78"/>
      <c r="D32" s="78"/>
      <c r="E32" s="78"/>
      <c r="F32" s="78"/>
      <c r="G32" s="78"/>
    </row>
    <row r="34" ht="18" customHeight="1">
      <c r="B34" s="21"/>
    </row>
    <row r="35" ht="18" customHeight="1">
      <c r="B35" s="21"/>
    </row>
  </sheetData>
  <printOptions/>
  <pageMargins left="0.38" right="0.17" top="1.17" bottom="0.51" header="0.38" footer="0.27"/>
  <pageSetup firstPageNumber="17" useFirstPageNumber="1" horizontalDpi="360" verticalDpi="360" orientation="portrait" paperSize="9" scale="94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pane xSplit="2" ySplit="2" topLeftCell="C3" activePane="bottomRight" state="frozen"/>
      <selection pane="topLeft" activeCell="F1" sqref="F1:G2"/>
      <selection pane="topRight" activeCell="F1" sqref="F1:G2"/>
      <selection pane="bottomLeft" activeCell="F1" sqref="F1:G2"/>
      <selection pane="bottomRight" activeCell="C3" sqref="C3"/>
    </sheetView>
  </sheetViews>
  <sheetFormatPr defaultColWidth="11.00390625" defaultRowHeight="18" customHeight="1"/>
  <cols>
    <col min="1" max="1" width="7.375" style="16" customWidth="1"/>
    <col min="2" max="2" width="38.375" style="18" customWidth="1"/>
    <col min="3" max="3" width="12.875" style="20" customWidth="1"/>
    <col min="4" max="4" width="12.875" style="20" bestFit="1" customWidth="1"/>
    <col min="5" max="5" width="12.875" style="20" customWidth="1"/>
    <col min="6" max="6" width="9.625" style="20" customWidth="1"/>
    <col min="7" max="7" width="9.625" style="20" bestFit="1" customWidth="1"/>
    <col min="8" max="8" width="11.125" style="17" bestFit="1" customWidth="1"/>
    <col min="9" max="16384" width="11.00390625" style="17" customWidth="1"/>
  </cols>
  <sheetData>
    <row r="1" spans="1:7" s="39" customFormat="1" ht="18" customHeight="1">
      <c r="A1" s="22" t="s">
        <v>29</v>
      </c>
      <c r="B1" s="23" t="s">
        <v>45</v>
      </c>
      <c r="C1" s="1" t="s">
        <v>325</v>
      </c>
      <c r="D1" s="111" t="s">
        <v>243</v>
      </c>
      <c r="E1" s="1" t="s">
        <v>326</v>
      </c>
      <c r="F1" s="122" t="s">
        <v>48</v>
      </c>
      <c r="G1" s="121" t="s">
        <v>48</v>
      </c>
    </row>
    <row r="2" spans="1:7" s="39" customFormat="1" ht="18" customHeight="1" thickBot="1">
      <c r="A2" s="24" t="s">
        <v>174</v>
      </c>
      <c r="B2" s="25" t="s">
        <v>24</v>
      </c>
      <c r="C2" s="28">
        <v>2004</v>
      </c>
      <c r="D2" s="109">
        <v>38245</v>
      </c>
      <c r="E2" s="28">
        <v>2004</v>
      </c>
      <c r="F2" s="6" t="s">
        <v>327</v>
      </c>
      <c r="G2" s="6" t="s">
        <v>328</v>
      </c>
    </row>
    <row r="3" spans="1:7" ht="18" customHeight="1">
      <c r="A3" s="44" t="s">
        <v>120</v>
      </c>
      <c r="B3" s="35" t="s">
        <v>30</v>
      </c>
      <c r="C3" s="63">
        <v>3000000</v>
      </c>
      <c r="D3" s="63">
        <v>136927</v>
      </c>
      <c r="E3" s="63">
        <v>3000000</v>
      </c>
      <c r="F3" s="14">
        <f>IF(C3=0,"-",$E3/C3*100)</f>
        <v>100</v>
      </c>
      <c r="G3" s="14">
        <f>IF(C3=0,"-",$D3/C3*100)</f>
        <v>4.564233333333333</v>
      </c>
    </row>
    <row r="4" spans="1:8" ht="18" customHeight="1">
      <c r="A4" s="73" t="s">
        <v>121</v>
      </c>
      <c r="B4" s="35" t="s">
        <v>186</v>
      </c>
      <c r="C4" s="63">
        <v>48500000</v>
      </c>
      <c r="D4" s="63">
        <v>29710892</v>
      </c>
      <c r="E4" s="63">
        <v>48500000</v>
      </c>
      <c r="F4" s="14">
        <f aca="true" t="shared" si="0" ref="F4:F18">IF(C4=0,"-",$E4/C4*100)</f>
        <v>100</v>
      </c>
      <c r="G4" s="14">
        <f aca="true" t="shared" si="1" ref="G4:G18">IF(C4=0,"-",$D4/C4*100)</f>
        <v>61.25957113402062</v>
      </c>
      <c r="H4" s="26">
        <f>SUM(D4:D13)</f>
        <v>482680928</v>
      </c>
    </row>
    <row r="5" spans="1:7" ht="18" customHeight="1">
      <c r="A5" s="73" t="s">
        <v>121</v>
      </c>
      <c r="B5" s="35" t="s">
        <v>34</v>
      </c>
      <c r="C5" s="63"/>
      <c r="D5" s="63"/>
      <c r="E5" s="63"/>
      <c r="F5" s="14" t="str">
        <f t="shared" si="0"/>
        <v>-</v>
      </c>
      <c r="G5" s="14" t="str">
        <f t="shared" si="1"/>
        <v>-</v>
      </c>
    </row>
    <row r="6" spans="1:8" ht="18" customHeight="1">
      <c r="A6" s="73" t="s">
        <v>121</v>
      </c>
      <c r="B6" s="35" t="s">
        <v>35</v>
      </c>
      <c r="C6" s="63"/>
      <c r="D6" s="63"/>
      <c r="E6" s="63"/>
      <c r="F6" s="14" t="str">
        <f t="shared" si="0"/>
        <v>-</v>
      </c>
      <c r="G6" s="14" t="str">
        <f t="shared" si="1"/>
        <v>-</v>
      </c>
      <c r="H6" s="26"/>
    </row>
    <row r="7" spans="1:7" ht="18" customHeight="1">
      <c r="A7" s="73" t="s">
        <v>121</v>
      </c>
      <c r="B7" s="35" t="s">
        <v>179</v>
      </c>
      <c r="C7" s="63"/>
      <c r="D7" s="63"/>
      <c r="E7" s="63"/>
      <c r="F7" s="14" t="str">
        <f t="shared" si="0"/>
        <v>-</v>
      </c>
      <c r="G7" s="14" t="str">
        <f t="shared" si="1"/>
        <v>-</v>
      </c>
    </row>
    <row r="8" spans="1:7" ht="18" customHeight="1">
      <c r="A8" s="73" t="s">
        <v>121</v>
      </c>
      <c r="B8" s="35" t="s">
        <v>315</v>
      </c>
      <c r="C8" s="63">
        <f>104249355+27279392</f>
        <v>131528747</v>
      </c>
      <c r="D8" s="63">
        <v>56677852</v>
      </c>
      <c r="E8" s="63">
        <f>104249355+27279392-50000000</f>
        <v>81528747</v>
      </c>
      <c r="F8" s="14">
        <f t="shared" si="0"/>
        <v>61.98549660022231</v>
      </c>
      <c r="G8" s="14">
        <f t="shared" si="1"/>
        <v>43.09160795092194</v>
      </c>
    </row>
    <row r="9" spans="1:7" ht="18" customHeight="1">
      <c r="A9" s="73" t="s">
        <v>121</v>
      </c>
      <c r="B9" s="35" t="s">
        <v>316</v>
      </c>
      <c r="C9" s="63">
        <v>416997423</v>
      </c>
      <c r="D9" s="63">
        <v>339379915</v>
      </c>
      <c r="E9" s="63">
        <f>416997423+60000000</f>
        <v>476997423</v>
      </c>
      <c r="F9" s="14">
        <f t="shared" si="0"/>
        <v>114.38857812797562</v>
      </c>
      <c r="G9" s="14">
        <f t="shared" si="1"/>
        <v>81.38657370072045</v>
      </c>
    </row>
    <row r="10" spans="1:7" ht="18" customHeight="1">
      <c r="A10" s="73" t="s">
        <v>121</v>
      </c>
      <c r="B10" s="35" t="s">
        <v>313</v>
      </c>
      <c r="C10" s="63">
        <f>3000000+13000000</f>
        <v>16000000</v>
      </c>
      <c r="D10" s="63">
        <v>11197571</v>
      </c>
      <c r="E10" s="63">
        <f>3000000+13000000</f>
        <v>16000000</v>
      </c>
      <c r="F10" s="14">
        <f t="shared" si="0"/>
        <v>100</v>
      </c>
      <c r="G10" s="14">
        <f t="shared" si="1"/>
        <v>69.98481875</v>
      </c>
    </row>
    <row r="11" spans="1:7" ht="18" customHeight="1">
      <c r="A11" s="73" t="s">
        <v>121</v>
      </c>
      <c r="B11" s="35" t="s">
        <v>321</v>
      </c>
      <c r="C11" s="63">
        <v>31653000</v>
      </c>
      <c r="D11" s="63">
        <v>31653000</v>
      </c>
      <c r="E11" s="63">
        <v>31653000</v>
      </c>
      <c r="F11" s="14">
        <f t="shared" si="0"/>
        <v>100</v>
      </c>
      <c r="G11" s="14">
        <f t="shared" si="1"/>
        <v>100</v>
      </c>
    </row>
    <row r="12" spans="1:7" ht="18" customHeight="1">
      <c r="A12" s="73" t="s">
        <v>121</v>
      </c>
      <c r="B12" s="35" t="s">
        <v>322</v>
      </c>
      <c r="C12" s="63">
        <v>7000000</v>
      </c>
      <c r="D12" s="63">
        <v>4431975</v>
      </c>
      <c r="E12" s="63">
        <v>7000000</v>
      </c>
      <c r="F12" s="14">
        <f t="shared" si="0"/>
        <v>100</v>
      </c>
      <c r="G12" s="14">
        <f t="shared" si="1"/>
        <v>63.31392857142857</v>
      </c>
    </row>
    <row r="13" spans="1:7" ht="18" customHeight="1">
      <c r="A13" s="73" t="s">
        <v>121</v>
      </c>
      <c r="B13" s="35" t="s">
        <v>323</v>
      </c>
      <c r="C13" s="63">
        <v>9630000</v>
      </c>
      <c r="D13" s="63">
        <v>9629723</v>
      </c>
      <c r="E13" s="63">
        <v>9630000</v>
      </c>
      <c r="F13" s="14">
        <f t="shared" si="0"/>
        <v>100</v>
      </c>
      <c r="G13" s="14">
        <f t="shared" si="1"/>
        <v>99.9971235721703</v>
      </c>
    </row>
    <row r="14" spans="1:8" ht="18" customHeight="1">
      <c r="A14" s="73" t="s">
        <v>122</v>
      </c>
      <c r="B14" s="35" t="s">
        <v>159</v>
      </c>
      <c r="C14" s="63">
        <v>1530000</v>
      </c>
      <c r="D14" s="63"/>
      <c r="E14" s="63">
        <v>1530000</v>
      </c>
      <c r="F14" s="14">
        <f t="shared" si="0"/>
        <v>100</v>
      </c>
      <c r="G14" s="14">
        <f t="shared" si="1"/>
        <v>0</v>
      </c>
      <c r="H14" s="26"/>
    </row>
    <row r="15" spans="1:7" ht="18" customHeight="1">
      <c r="A15" s="73" t="s">
        <v>123</v>
      </c>
      <c r="B15" s="35" t="s">
        <v>306</v>
      </c>
      <c r="C15" s="63">
        <v>35000000</v>
      </c>
      <c r="D15" s="63">
        <v>34999599</v>
      </c>
      <c r="E15" s="63">
        <f>35000000+5000000</f>
        <v>40000000</v>
      </c>
      <c r="F15" s="14">
        <f t="shared" si="0"/>
        <v>114.28571428571428</v>
      </c>
      <c r="G15" s="14">
        <f t="shared" si="1"/>
        <v>99.99885428571429</v>
      </c>
    </row>
    <row r="16" spans="1:7" ht="18" customHeight="1">
      <c r="A16" s="73" t="s">
        <v>124</v>
      </c>
      <c r="B16" s="11" t="s">
        <v>15</v>
      </c>
      <c r="C16" s="63">
        <v>7822000</v>
      </c>
      <c r="D16" s="63">
        <v>5322000</v>
      </c>
      <c r="E16" s="63">
        <v>7822000</v>
      </c>
      <c r="F16" s="14">
        <f t="shared" si="0"/>
        <v>100</v>
      </c>
      <c r="G16" s="14">
        <f t="shared" si="1"/>
        <v>68.03886474047557</v>
      </c>
    </row>
    <row r="17" spans="1:7" ht="18" customHeight="1">
      <c r="A17" s="74"/>
      <c r="B17" s="11"/>
      <c r="C17" s="63"/>
      <c r="D17" s="63"/>
      <c r="E17" s="63"/>
      <c r="F17" s="14"/>
      <c r="G17" s="14"/>
    </row>
    <row r="18" spans="1:7" ht="18" customHeight="1" thickBot="1">
      <c r="A18" s="28"/>
      <c r="B18" s="29" t="s">
        <v>189</v>
      </c>
      <c r="C18" s="37">
        <f>SUM(C3:C17)</f>
        <v>708661170</v>
      </c>
      <c r="D18" s="37">
        <f>SUM(D3:D17)</f>
        <v>523139454</v>
      </c>
      <c r="E18" s="37">
        <f>SUM(E3:E17)</f>
        <v>723661170</v>
      </c>
      <c r="F18" s="31">
        <f t="shared" si="0"/>
        <v>102.1166674053836</v>
      </c>
      <c r="G18" s="31">
        <f t="shared" si="1"/>
        <v>73.82081538346456</v>
      </c>
    </row>
    <row r="19" ht="18" customHeight="1">
      <c r="A19" s="38" t="s">
        <v>24</v>
      </c>
    </row>
    <row r="20" spans="3:5" ht="18" customHeight="1">
      <c r="C20" s="75"/>
      <c r="D20" s="75"/>
      <c r="E20" s="75"/>
    </row>
    <row r="21" spans="2:7" ht="18" customHeight="1">
      <c r="B21" s="21"/>
      <c r="C21" s="76"/>
      <c r="D21" s="76"/>
      <c r="E21" s="76"/>
      <c r="F21" s="76"/>
      <c r="G21" s="76"/>
    </row>
    <row r="22" spans="3:7" ht="18" customHeight="1">
      <c r="C22" s="76"/>
      <c r="D22" s="76"/>
      <c r="E22" s="76"/>
      <c r="F22" s="76"/>
      <c r="G22" s="76"/>
    </row>
    <row r="23" spans="3:7" ht="18" customHeight="1">
      <c r="C23" s="77"/>
      <c r="D23" s="77"/>
      <c r="E23" s="77"/>
      <c r="F23" s="77"/>
      <c r="G23" s="77"/>
    </row>
    <row r="24" spans="3:7" ht="18" customHeight="1">
      <c r="C24" s="77"/>
      <c r="D24" s="77"/>
      <c r="E24" s="77"/>
      <c r="F24" s="77"/>
      <c r="G24" s="77"/>
    </row>
    <row r="25" spans="3:7" ht="18" customHeight="1">
      <c r="C25" s="77"/>
      <c r="D25" s="77"/>
      <c r="E25" s="77"/>
      <c r="F25" s="77"/>
      <c r="G25" s="77"/>
    </row>
    <row r="26" spans="3:7" ht="18" customHeight="1">
      <c r="C26" s="77"/>
      <c r="D26" s="77"/>
      <c r="E26" s="77"/>
      <c r="F26" s="77"/>
      <c r="G26" s="77"/>
    </row>
    <row r="27" spans="3:7" ht="18" customHeight="1">
      <c r="C27" s="77"/>
      <c r="D27" s="77"/>
      <c r="E27" s="77"/>
      <c r="F27" s="77"/>
      <c r="G27" s="77"/>
    </row>
    <row r="28" spans="3:7" ht="18" customHeight="1">
      <c r="C28" s="77"/>
      <c r="D28" s="77"/>
      <c r="E28" s="77"/>
      <c r="F28" s="77"/>
      <c r="G28" s="77"/>
    </row>
    <row r="29" spans="3:7" ht="18" customHeight="1">
      <c r="C29" s="77"/>
      <c r="D29" s="77"/>
      <c r="E29" s="77"/>
      <c r="F29" s="77"/>
      <c r="G29" s="77"/>
    </row>
    <row r="30" spans="2:7" ht="18" customHeight="1">
      <c r="B30" s="21"/>
      <c r="C30" s="78"/>
      <c r="D30" s="78"/>
      <c r="E30" s="78"/>
      <c r="F30" s="78"/>
      <c r="G30" s="78"/>
    </row>
    <row r="31" spans="3:7" ht="18" customHeight="1">
      <c r="C31" s="77"/>
      <c r="D31" s="77"/>
      <c r="E31" s="77"/>
      <c r="F31" s="77"/>
      <c r="G31" s="77"/>
    </row>
    <row r="32" spans="3:7" ht="18" customHeight="1">
      <c r="C32" s="77"/>
      <c r="D32" s="77"/>
      <c r="E32" s="77"/>
      <c r="F32" s="77"/>
      <c r="G32" s="77"/>
    </row>
  </sheetData>
  <printOptions/>
  <pageMargins left="0.38" right="0.17" top="1.17" bottom="0.91" header="0.41" footer="0.5511811023622047"/>
  <pageSetup firstPageNumber="18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44"/>
  <sheetViews>
    <sheetView workbookViewId="0" topLeftCell="A1">
      <pane xSplit="2" ySplit="2" topLeftCell="C3" activePane="bottomRight" state="frozen"/>
      <selection pane="topLeft" activeCell="F1" sqref="F1:G2"/>
      <selection pane="topRight" activeCell="F1" sqref="F1:G2"/>
      <selection pane="bottomLeft" activeCell="F1" sqref="F1:G2"/>
      <selection pane="bottomRight" activeCell="C3" sqref="C3"/>
    </sheetView>
  </sheetViews>
  <sheetFormatPr defaultColWidth="11.00390625" defaultRowHeight="18" customHeight="1"/>
  <cols>
    <col min="1" max="1" width="6.875" style="16" customWidth="1"/>
    <col min="2" max="2" width="45.625" style="18" customWidth="1"/>
    <col min="3" max="3" width="12.875" style="20" customWidth="1"/>
    <col min="4" max="4" width="12.875" style="20" bestFit="1" customWidth="1"/>
    <col min="5" max="5" width="12.875" style="20" customWidth="1"/>
    <col min="6" max="6" width="9.625" style="86" customWidth="1"/>
    <col min="7" max="7" width="9.625" style="86" bestFit="1" customWidth="1"/>
    <col min="8" max="8" width="11.75390625" style="17" bestFit="1" customWidth="1"/>
    <col min="9" max="9" width="11.125" style="17" bestFit="1" customWidth="1"/>
    <col min="10" max="16384" width="11.00390625" style="17" customWidth="1"/>
  </cols>
  <sheetData>
    <row r="1" spans="1:7" s="39" customFormat="1" ht="18" customHeight="1">
      <c r="A1" s="22" t="s">
        <v>29</v>
      </c>
      <c r="B1" s="23" t="s">
        <v>45</v>
      </c>
      <c r="C1" s="1" t="s">
        <v>325</v>
      </c>
      <c r="D1" s="111" t="s">
        <v>243</v>
      </c>
      <c r="E1" s="1" t="s">
        <v>326</v>
      </c>
      <c r="F1" s="121" t="s">
        <v>48</v>
      </c>
      <c r="G1" s="122" t="s">
        <v>48</v>
      </c>
    </row>
    <row r="2" spans="1:7" s="39" customFormat="1" ht="18" customHeight="1" thickBot="1">
      <c r="A2" s="24" t="s">
        <v>174</v>
      </c>
      <c r="B2" s="25"/>
      <c r="C2" s="28">
        <v>2004</v>
      </c>
      <c r="D2" s="109">
        <v>38245</v>
      </c>
      <c r="E2" s="28">
        <v>2004</v>
      </c>
      <c r="F2" s="6" t="s">
        <v>327</v>
      </c>
      <c r="G2" s="110" t="s">
        <v>328</v>
      </c>
    </row>
    <row r="3" spans="1:255" s="61" customFormat="1" ht="18" customHeight="1">
      <c r="A3" s="59" t="s">
        <v>110</v>
      </c>
      <c r="B3" s="60" t="s">
        <v>30</v>
      </c>
      <c r="C3" s="105">
        <f>572285+1500000</f>
        <v>2072285</v>
      </c>
      <c r="D3" s="105">
        <v>650000</v>
      </c>
      <c r="E3" s="105">
        <f>572285+1500000</f>
        <v>2072285</v>
      </c>
      <c r="F3" s="14">
        <f>IF(C3=0,"-",$E3/C3*100)</f>
        <v>100</v>
      </c>
      <c r="G3" s="108">
        <f>IF(C3=0,"-",$D3/C3*100)</f>
        <v>31.366341984813868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</row>
    <row r="4" spans="1:255" s="61" customFormat="1" ht="18" customHeight="1">
      <c r="A4" s="27" t="s">
        <v>109</v>
      </c>
      <c r="B4" s="35" t="s">
        <v>217</v>
      </c>
      <c r="C4" s="63">
        <v>640000</v>
      </c>
      <c r="D4" s="63"/>
      <c r="E4" s="63">
        <v>640000</v>
      </c>
      <c r="F4" s="14">
        <f aca="true" t="shared" si="0" ref="F4:F35">IF(C4=0,"-",$E4/C4*100)</f>
        <v>100</v>
      </c>
      <c r="G4" s="108">
        <f aca="true" t="shared" si="1" ref="G4:G35">IF(C4=0,"-",$D4/C4*100)</f>
        <v>0</v>
      </c>
      <c r="H4" s="62">
        <f>SUM(D4:D5)</f>
        <v>0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</row>
    <row r="5" spans="1:255" ht="18" customHeight="1">
      <c r="A5" s="27" t="s">
        <v>109</v>
      </c>
      <c r="B5" s="35" t="s">
        <v>193</v>
      </c>
      <c r="C5" s="63">
        <v>2000000</v>
      </c>
      <c r="D5" s="63"/>
      <c r="E5" s="63">
        <v>2000000</v>
      </c>
      <c r="F5" s="14">
        <f t="shared" si="0"/>
        <v>100</v>
      </c>
      <c r="G5" s="108">
        <f t="shared" si="1"/>
        <v>0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</row>
    <row r="6" spans="1:7" ht="18" customHeight="1">
      <c r="A6" s="27" t="s">
        <v>108</v>
      </c>
      <c r="B6" s="35" t="s">
        <v>31</v>
      </c>
      <c r="C6" s="63">
        <v>2900000</v>
      </c>
      <c r="D6" s="63">
        <v>1933335</v>
      </c>
      <c r="E6" s="63">
        <v>2900000</v>
      </c>
      <c r="F6" s="14">
        <f t="shared" si="0"/>
        <v>100</v>
      </c>
      <c r="G6" s="108">
        <f t="shared" si="1"/>
        <v>66.66672413793103</v>
      </c>
    </row>
    <row r="7" spans="1:7" ht="18" customHeight="1">
      <c r="A7" s="27" t="s">
        <v>107</v>
      </c>
      <c r="B7" s="35" t="s">
        <v>32</v>
      </c>
      <c r="C7" s="63">
        <v>4000000</v>
      </c>
      <c r="D7" s="63">
        <v>1174068</v>
      </c>
      <c r="E7" s="63">
        <v>4000000</v>
      </c>
      <c r="F7" s="14">
        <f t="shared" si="0"/>
        <v>100</v>
      </c>
      <c r="G7" s="108">
        <f t="shared" si="1"/>
        <v>29.351699999999997</v>
      </c>
    </row>
    <row r="8" spans="1:7" ht="18" customHeight="1">
      <c r="A8" s="27" t="s">
        <v>106</v>
      </c>
      <c r="B8" s="11" t="s">
        <v>156</v>
      </c>
      <c r="C8" s="63">
        <v>16800000</v>
      </c>
      <c r="D8" s="63">
        <v>11200000</v>
      </c>
      <c r="E8" s="63">
        <v>16800000</v>
      </c>
      <c r="F8" s="14">
        <f t="shared" si="0"/>
        <v>100</v>
      </c>
      <c r="G8" s="108">
        <f t="shared" si="1"/>
        <v>66.66666666666666</v>
      </c>
    </row>
    <row r="9" spans="1:7" ht="18" customHeight="1">
      <c r="A9" s="27" t="s">
        <v>105</v>
      </c>
      <c r="B9" s="11" t="s">
        <v>350</v>
      </c>
      <c r="C9" s="63">
        <v>3600000</v>
      </c>
      <c r="D9" s="63">
        <v>2400000</v>
      </c>
      <c r="E9" s="63">
        <v>3600000</v>
      </c>
      <c r="F9" s="14">
        <f t="shared" si="0"/>
        <v>100</v>
      </c>
      <c r="G9" s="108">
        <f t="shared" si="1"/>
        <v>66.66666666666666</v>
      </c>
    </row>
    <row r="10" spans="1:7" ht="18" customHeight="1">
      <c r="A10" s="27" t="s">
        <v>244</v>
      </c>
      <c r="B10" s="55" t="s">
        <v>351</v>
      </c>
      <c r="C10" s="63">
        <v>22000000</v>
      </c>
      <c r="D10" s="63"/>
      <c r="E10" s="63">
        <v>22000000</v>
      </c>
      <c r="F10" s="14">
        <f t="shared" si="0"/>
        <v>100</v>
      </c>
      <c r="G10" s="108">
        <f t="shared" si="1"/>
        <v>0</v>
      </c>
    </row>
    <row r="11" spans="1:8" ht="18" customHeight="1">
      <c r="A11" s="27" t="s">
        <v>104</v>
      </c>
      <c r="B11" s="11" t="s">
        <v>214</v>
      </c>
      <c r="C11" s="63">
        <v>6000000</v>
      </c>
      <c r="D11" s="63">
        <v>4000000</v>
      </c>
      <c r="E11" s="63">
        <v>6000000</v>
      </c>
      <c r="F11" s="14">
        <f t="shared" si="0"/>
        <v>100</v>
      </c>
      <c r="G11" s="108">
        <f t="shared" si="1"/>
        <v>66.66666666666666</v>
      </c>
      <c r="H11" s="26"/>
    </row>
    <row r="12" spans="1:8" ht="18" customHeight="1">
      <c r="A12" s="27" t="s">
        <v>103</v>
      </c>
      <c r="B12" s="11" t="s">
        <v>232</v>
      </c>
      <c r="C12" s="63">
        <f>32800000-2000000</f>
        <v>30800000</v>
      </c>
      <c r="D12" s="63">
        <v>20533335</v>
      </c>
      <c r="E12" s="63">
        <f>32800000-2000000</f>
        <v>30800000</v>
      </c>
      <c r="F12" s="14">
        <f t="shared" si="0"/>
        <v>100</v>
      </c>
      <c r="G12" s="108">
        <f t="shared" si="1"/>
        <v>66.66667207792207</v>
      </c>
      <c r="H12" s="26">
        <f>SUM(D12:D13)</f>
        <v>23533335</v>
      </c>
    </row>
    <row r="13" spans="1:7" ht="18" customHeight="1">
      <c r="A13" s="27" t="s">
        <v>103</v>
      </c>
      <c r="B13" s="11" t="s">
        <v>233</v>
      </c>
      <c r="C13" s="63">
        <v>3000000</v>
      </c>
      <c r="D13" s="63">
        <v>3000000</v>
      </c>
      <c r="E13" s="63">
        <v>3000000</v>
      </c>
      <c r="F13" s="14">
        <f t="shared" si="0"/>
        <v>100</v>
      </c>
      <c r="G13" s="108">
        <f t="shared" si="1"/>
        <v>100</v>
      </c>
    </row>
    <row r="14" spans="1:7" ht="18" customHeight="1">
      <c r="A14" s="27" t="s">
        <v>102</v>
      </c>
      <c r="B14" s="11" t="s">
        <v>178</v>
      </c>
      <c r="C14" s="63">
        <f>32800000+1600000+2580000</f>
        <v>36980000</v>
      </c>
      <c r="D14" s="63">
        <v>20928627</v>
      </c>
      <c r="E14" s="63">
        <f>32800000+1600000+2580000</f>
        <v>36980000</v>
      </c>
      <c r="F14" s="14">
        <f t="shared" si="0"/>
        <v>100</v>
      </c>
      <c r="G14" s="108">
        <f t="shared" si="1"/>
        <v>56.5944483504597</v>
      </c>
    </row>
    <row r="15" spans="1:8" ht="18" customHeight="1">
      <c r="A15" s="27" t="s">
        <v>101</v>
      </c>
      <c r="B15" s="35" t="s">
        <v>210</v>
      </c>
      <c r="C15" s="63">
        <f>154601216-4441528+246624</f>
        <v>150406312</v>
      </c>
      <c r="D15" s="63">
        <v>98896083</v>
      </c>
      <c r="E15" s="63">
        <f>154601216-4441528+246624</f>
        <v>150406312</v>
      </c>
      <c r="F15" s="14">
        <f t="shared" si="0"/>
        <v>100</v>
      </c>
      <c r="G15" s="108">
        <f t="shared" si="1"/>
        <v>65.7526148237715</v>
      </c>
      <c r="H15" s="26">
        <f>SUM(D15:D19)</f>
        <v>168468228</v>
      </c>
    </row>
    <row r="16" spans="1:7" ht="18" customHeight="1">
      <c r="A16" s="27" t="s">
        <v>101</v>
      </c>
      <c r="B16" s="35" t="s">
        <v>211</v>
      </c>
      <c r="C16" s="63">
        <v>21655204</v>
      </c>
      <c r="D16" s="63">
        <v>14303468</v>
      </c>
      <c r="E16" s="63">
        <v>21655204</v>
      </c>
      <c r="F16" s="14">
        <f t="shared" si="0"/>
        <v>100</v>
      </c>
      <c r="G16" s="108">
        <f t="shared" si="1"/>
        <v>66.05095015498354</v>
      </c>
    </row>
    <row r="17" spans="1:9" ht="18" customHeight="1">
      <c r="A17" s="27" t="s">
        <v>101</v>
      </c>
      <c r="B17" s="35" t="s">
        <v>215</v>
      </c>
      <c r="C17" s="63">
        <v>69971329</v>
      </c>
      <c r="D17" s="63">
        <v>47848193</v>
      </c>
      <c r="E17" s="63">
        <v>69971329</v>
      </c>
      <c r="F17" s="14">
        <f t="shared" si="0"/>
        <v>100</v>
      </c>
      <c r="G17" s="108">
        <f t="shared" si="1"/>
        <v>68.38256995233004</v>
      </c>
      <c r="I17" s="26"/>
    </row>
    <row r="18" spans="1:9" ht="18" customHeight="1">
      <c r="A18" s="27" t="s">
        <v>101</v>
      </c>
      <c r="B18" s="35" t="s">
        <v>299</v>
      </c>
      <c r="C18" s="63">
        <v>6935721</v>
      </c>
      <c r="D18" s="63">
        <v>4623814</v>
      </c>
      <c r="E18" s="63">
        <v>6935721</v>
      </c>
      <c r="F18" s="14">
        <f t="shared" si="0"/>
        <v>100</v>
      </c>
      <c r="G18" s="108">
        <f t="shared" si="1"/>
        <v>66.66666666666666</v>
      </c>
      <c r="I18" s="26"/>
    </row>
    <row r="19" spans="1:9" ht="18" customHeight="1">
      <c r="A19" s="27" t="s">
        <v>101</v>
      </c>
      <c r="B19" s="35" t="s">
        <v>300</v>
      </c>
      <c r="C19" s="63">
        <f>4441528-246624</f>
        <v>4194904</v>
      </c>
      <c r="D19" s="63">
        <v>2796670</v>
      </c>
      <c r="E19" s="63">
        <f>4441528-246624</f>
        <v>4194904</v>
      </c>
      <c r="F19" s="14">
        <f t="shared" si="0"/>
        <v>100</v>
      </c>
      <c r="G19" s="108">
        <f t="shared" si="1"/>
        <v>66.66827178881806</v>
      </c>
      <c r="I19" s="26"/>
    </row>
    <row r="20" spans="1:7" ht="18" customHeight="1">
      <c r="A20" s="27"/>
      <c r="B20" s="40" t="s">
        <v>33</v>
      </c>
      <c r="C20" s="63"/>
      <c r="D20" s="63"/>
      <c r="E20" s="63"/>
      <c r="F20" s="14" t="str">
        <f t="shared" si="0"/>
        <v>-</v>
      </c>
      <c r="G20" s="108" t="str">
        <f t="shared" si="1"/>
        <v>-</v>
      </c>
    </row>
    <row r="21" spans="1:8" s="67" customFormat="1" ht="18" customHeight="1">
      <c r="A21" s="64"/>
      <c r="B21" s="65" t="s">
        <v>285</v>
      </c>
      <c r="C21" s="106">
        <f>145376893+26000000+328546+1600000</f>
        <v>173305439</v>
      </c>
      <c r="D21" s="106">
        <v>115003623</v>
      </c>
      <c r="E21" s="106">
        <f>145376893+26000000+328546+1600000</f>
        <v>173305439</v>
      </c>
      <c r="F21" s="14">
        <f t="shared" si="0"/>
        <v>100</v>
      </c>
      <c r="G21" s="108">
        <f t="shared" si="1"/>
        <v>66.35892310338858</v>
      </c>
      <c r="H21" s="66">
        <f>SUM(D21:D25)</f>
        <v>168468228</v>
      </c>
    </row>
    <row r="22" spans="1:8" s="67" customFormat="1" ht="18" customHeight="1">
      <c r="A22" s="64"/>
      <c r="B22" s="65" t="s">
        <v>286</v>
      </c>
      <c r="C22" s="106"/>
      <c r="D22" s="106"/>
      <c r="E22" s="106"/>
      <c r="F22" s="14" t="str">
        <f t="shared" si="0"/>
        <v>-</v>
      </c>
      <c r="G22" s="108" t="str">
        <f t="shared" si="1"/>
        <v>-</v>
      </c>
      <c r="H22" s="66"/>
    </row>
    <row r="23" spans="1:7" s="67" customFormat="1" ht="18" customHeight="1">
      <c r="A23" s="64"/>
      <c r="B23" s="65" t="s">
        <v>308</v>
      </c>
      <c r="C23" s="106">
        <f>53472403-220949-22471</f>
        <v>53228983</v>
      </c>
      <c r="D23" s="106">
        <v>35902391</v>
      </c>
      <c r="E23" s="106">
        <f>53472403-220949-22471</f>
        <v>53228983</v>
      </c>
      <c r="F23" s="14">
        <f t="shared" si="0"/>
        <v>100</v>
      </c>
      <c r="G23" s="108">
        <f t="shared" si="1"/>
        <v>67.44895163599124</v>
      </c>
    </row>
    <row r="24" spans="1:9" s="67" customFormat="1" ht="18" customHeight="1">
      <c r="A24" s="64"/>
      <c r="B24" s="65" t="s">
        <v>287</v>
      </c>
      <c r="C24" s="106">
        <v>12180000</v>
      </c>
      <c r="D24" s="106">
        <v>8120000</v>
      </c>
      <c r="E24" s="106">
        <v>12180000</v>
      </c>
      <c r="F24" s="14">
        <f t="shared" si="0"/>
        <v>100</v>
      </c>
      <c r="G24" s="108">
        <f t="shared" si="1"/>
        <v>66.66666666666666</v>
      </c>
      <c r="I24" s="66"/>
    </row>
    <row r="25" spans="1:9" s="67" customFormat="1" ht="18" customHeight="1">
      <c r="A25" s="64"/>
      <c r="B25" s="65" t="s">
        <v>216</v>
      </c>
      <c r="C25" s="106">
        <f>13600000+849048</f>
        <v>14449048</v>
      </c>
      <c r="D25" s="106">
        <v>9442214</v>
      </c>
      <c r="E25" s="106">
        <f>13600000+849048</f>
        <v>14449048</v>
      </c>
      <c r="F25" s="14">
        <f t="shared" si="0"/>
        <v>100</v>
      </c>
      <c r="G25" s="108">
        <f t="shared" si="1"/>
        <v>65.34834682534103</v>
      </c>
      <c r="I25" s="66"/>
    </row>
    <row r="26" spans="1:8" ht="18" customHeight="1">
      <c r="A26" s="44" t="s">
        <v>100</v>
      </c>
      <c r="B26" s="68" t="s">
        <v>352</v>
      </c>
      <c r="C26" s="63">
        <v>13000000</v>
      </c>
      <c r="D26" s="63">
        <v>13000000</v>
      </c>
      <c r="E26" s="63">
        <v>13000000</v>
      </c>
      <c r="F26" s="14">
        <f t="shared" si="0"/>
        <v>100</v>
      </c>
      <c r="G26" s="108">
        <f t="shared" si="1"/>
        <v>100</v>
      </c>
      <c r="H26" s="26">
        <f>SUM(D26:D29)</f>
        <v>20693878</v>
      </c>
    </row>
    <row r="27" spans="1:9" ht="18" customHeight="1">
      <c r="A27" s="44" t="s">
        <v>100</v>
      </c>
      <c r="B27" s="55" t="s">
        <v>239</v>
      </c>
      <c r="C27" s="63">
        <v>1000000</v>
      </c>
      <c r="D27" s="63">
        <v>133294</v>
      </c>
      <c r="E27" s="63">
        <v>1000000</v>
      </c>
      <c r="F27" s="14">
        <f t="shared" si="0"/>
        <v>100</v>
      </c>
      <c r="G27" s="108">
        <f t="shared" si="1"/>
        <v>13.3294</v>
      </c>
      <c r="I27" s="26"/>
    </row>
    <row r="28" spans="1:7" ht="18" customHeight="1">
      <c r="A28" s="44" t="s">
        <v>100</v>
      </c>
      <c r="B28" s="55" t="s">
        <v>353</v>
      </c>
      <c r="C28" s="63">
        <f>10000000-2272285</f>
        <v>7727715</v>
      </c>
      <c r="D28" s="63">
        <v>1203584</v>
      </c>
      <c r="E28" s="63">
        <f>10000000-2272285</f>
        <v>7727715</v>
      </c>
      <c r="F28" s="14">
        <f t="shared" si="0"/>
        <v>100</v>
      </c>
      <c r="G28" s="108">
        <f t="shared" si="1"/>
        <v>15.574901507107858</v>
      </c>
    </row>
    <row r="29" spans="1:7" ht="18" customHeight="1">
      <c r="A29" s="44" t="s">
        <v>100</v>
      </c>
      <c r="B29" s="55" t="s">
        <v>318</v>
      </c>
      <c r="C29" s="63">
        <v>6357000</v>
      </c>
      <c r="D29" s="63">
        <v>6357000</v>
      </c>
      <c r="E29" s="63">
        <v>6357000</v>
      </c>
      <c r="F29" s="14"/>
      <c r="G29" s="108"/>
    </row>
    <row r="30" spans="1:7" ht="18" customHeight="1">
      <c r="A30" s="44" t="s">
        <v>99</v>
      </c>
      <c r="B30" s="55" t="s">
        <v>307</v>
      </c>
      <c r="C30" s="63">
        <v>5000000</v>
      </c>
      <c r="D30" s="63"/>
      <c r="E30" s="63">
        <v>5000000</v>
      </c>
      <c r="F30" s="14">
        <f t="shared" si="0"/>
        <v>100</v>
      </c>
      <c r="G30" s="108">
        <f t="shared" si="1"/>
        <v>0</v>
      </c>
    </row>
    <row r="31" spans="1:8" ht="18" customHeight="1">
      <c r="A31" s="44" t="s">
        <v>98</v>
      </c>
      <c r="B31" s="55" t="s">
        <v>234</v>
      </c>
      <c r="C31" s="63"/>
      <c r="D31" s="63"/>
      <c r="E31" s="63"/>
      <c r="F31" s="14" t="str">
        <f t="shared" si="0"/>
        <v>-</v>
      </c>
      <c r="G31" s="108" t="str">
        <f t="shared" si="1"/>
        <v>-</v>
      </c>
      <c r="H31" s="26">
        <f>SUM(D31:D31)</f>
        <v>0</v>
      </c>
    </row>
    <row r="32" spans="1:8" ht="18" customHeight="1">
      <c r="A32" s="44" t="s">
        <v>319</v>
      </c>
      <c r="B32" s="55" t="s">
        <v>320</v>
      </c>
      <c r="C32" s="63">
        <v>7000000</v>
      </c>
      <c r="D32" s="63">
        <v>7000000</v>
      </c>
      <c r="E32" s="63">
        <v>7000000</v>
      </c>
      <c r="F32" s="14"/>
      <c r="G32" s="108"/>
      <c r="H32" s="26"/>
    </row>
    <row r="33" spans="1:7" ht="18" customHeight="1">
      <c r="A33" s="27" t="s">
        <v>146</v>
      </c>
      <c r="B33" s="11" t="s">
        <v>135</v>
      </c>
      <c r="C33" s="63">
        <v>2235000</v>
      </c>
      <c r="D33" s="63"/>
      <c r="E33" s="63">
        <v>2235000</v>
      </c>
      <c r="F33" s="14">
        <f t="shared" si="0"/>
        <v>100</v>
      </c>
      <c r="G33" s="108">
        <f t="shared" si="1"/>
        <v>0</v>
      </c>
    </row>
    <row r="34" spans="1:7" ht="18" customHeight="1">
      <c r="A34" s="27"/>
      <c r="B34" s="11"/>
      <c r="C34" s="63"/>
      <c r="D34" s="63"/>
      <c r="E34" s="63"/>
      <c r="F34" s="14"/>
      <c r="G34" s="108"/>
    </row>
    <row r="35" spans="1:7" ht="18" customHeight="1" thickBot="1">
      <c r="A35" s="28"/>
      <c r="B35" s="46" t="s">
        <v>191</v>
      </c>
      <c r="C35" s="107">
        <f>SUM(C3:C34)-SUM(C21:C25)</f>
        <v>426275470</v>
      </c>
      <c r="D35" s="107">
        <f>SUM(D3:D34)-SUM(D21:D25)</f>
        <v>261981471</v>
      </c>
      <c r="E35" s="107">
        <f>SUM(E3:E34)-SUM(E21:E25)</f>
        <v>426275470</v>
      </c>
      <c r="F35" s="31">
        <f t="shared" si="0"/>
        <v>100</v>
      </c>
      <c r="G35" s="31">
        <f t="shared" si="1"/>
        <v>61.458256324249675</v>
      </c>
    </row>
    <row r="37" spans="3:5" ht="18" customHeight="1">
      <c r="C37" s="19"/>
      <c r="D37" s="19"/>
      <c r="E37" s="19"/>
    </row>
    <row r="38" ht="18" customHeight="1">
      <c r="B38" s="21"/>
    </row>
    <row r="44" ht="18" customHeight="1">
      <c r="B44" s="21"/>
    </row>
  </sheetData>
  <printOptions/>
  <pageMargins left="0.41" right="0.17" top="1.17" bottom="0.99" header="0.41" footer="0.2"/>
  <pageSetup firstPageNumber="19" useFirstPageNumber="1" horizontalDpi="360" verticalDpi="360" orientation="portrait" paperSize="9" scale="90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pane xSplit="2" ySplit="2" topLeftCell="C9" activePane="bottomRight" state="frozen"/>
      <selection pane="topLeft" activeCell="F1" sqref="F1:G2"/>
      <selection pane="topRight" activeCell="F1" sqref="F1:G2"/>
      <selection pane="bottomLeft" activeCell="F1" sqref="F1:G2"/>
      <selection pane="bottomRight" activeCell="E15" sqref="E15"/>
    </sheetView>
  </sheetViews>
  <sheetFormatPr defaultColWidth="11.00390625" defaultRowHeight="18" customHeight="1"/>
  <cols>
    <col min="1" max="1" width="6.875" style="16" customWidth="1"/>
    <col min="2" max="2" width="42.25390625" style="18" customWidth="1"/>
    <col min="3" max="3" width="12.875" style="20" customWidth="1"/>
    <col min="4" max="4" width="12.875" style="20" bestFit="1" customWidth="1"/>
    <col min="5" max="5" width="12.875" style="20" customWidth="1"/>
    <col min="6" max="6" width="9.625" style="20" customWidth="1"/>
    <col min="7" max="7" width="9.625" style="20" bestFit="1" customWidth="1"/>
    <col min="8" max="16384" width="11.00390625" style="17" customWidth="1"/>
  </cols>
  <sheetData>
    <row r="1" spans="1:7" s="39" customFormat="1" ht="18" customHeight="1">
      <c r="A1" s="22" t="s">
        <v>29</v>
      </c>
      <c r="B1" s="23" t="s">
        <v>45</v>
      </c>
      <c r="C1" s="1" t="s">
        <v>325</v>
      </c>
      <c r="D1" s="111" t="s">
        <v>243</v>
      </c>
      <c r="E1" s="1" t="s">
        <v>326</v>
      </c>
      <c r="F1" s="122" t="s">
        <v>48</v>
      </c>
      <c r="G1" s="121" t="s">
        <v>48</v>
      </c>
    </row>
    <row r="2" spans="1:7" s="39" customFormat="1" ht="18" customHeight="1" thickBot="1">
      <c r="A2" s="24" t="s">
        <v>174</v>
      </c>
      <c r="B2" s="25"/>
      <c r="C2" s="28">
        <v>2004</v>
      </c>
      <c r="D2" s="109">
        <v>38245</v>
      </c>
      <c r="E2" s="28">
        <v>2004</v>
      </c>
      <c r="F2" s="6" t="s">
        <v>327</v>
      </c>
      <c r="G2" s="6" t="s">
        <v>328</v>
      </c>
    </row>
    <row r="3" spans="1:7" ht="18" customHeight="1">
      <c r="A3" s="44" t="s">
        <v>132</v>
      </c>
      <c r="B3" s="35" t="s">
        <v>30</v>
      </c>
      <c r="C3" s="36">
        <v>2920400</v>
      </c>
      <c r="D3" s="36">
        <v>2735000</v>
      </c>
      <c r="E3" s="36">
        <v>2920400</v>
      </c>
      <c r="F3" s="14">
        <f>IF(C3=0,"-",$E3/C3*100)</f>
        <v>100</v>
      </c>
      <c r="G3" s="14">
        <f>IF(C3=0,"-",$D3/C3*100)</f>
        <v>93.65155458156417</v>
      </c>
    </row>
    <row r="4" spans="1:7" ht="18" customHeight="1">
      <c r="A4" s="44" t="s">
        <v>131</v>
      </c>
      <c r="B4" s="35" t="s">
        <v>289</v>
      </c>
      <c r="C4" s="36">
        <v>28000000</v>
      </c>
      <c r="D4" s="36">
        <v>18666680</v>
      </c>
      <c r="E4" s="36">
        <v>28000000</v>
      </c>
      <c r="F4" s="14">
        <f aca="true" t="shared" si="0" ref="F4:F23">IF(C4=0,"-",$E4/C4*100)</f>
        <v>100</v>
      </c>
      <c r="G4" s="14">
        <f aca="true" t="shared" si="1" ref="G4:G23">IF(C4=0,"-",$D4/C4*100)</f>
        <v>66.66671428571429</v>
      </c>
    </row>
    <row r="5" spans="1:7" ht="18" customHeight="1">
      <c r="A5" s="27" t="s">
        <v>128</v>
      </c>
      <c r="B5" s="35" t="s">
        <v>40</v>
      </c>
      <c r="C5" s="36">
        <v>2030000</v>
      </c>
      <c r="D5" s="36">
        <v>1353335</v>
      </c>
      <c r="E5" s="36">
        <v>2030000</v>
      </c>
      <c r="F5" s="14">
        <f t="shared" si="0"/>
        <v>100</v>
      </c>
      <c r="G5" s="14">
        <f t="shared" si="1"/>
        <v>66.6667487684729</v>
      </c>
    </row>
    <row r="6" spans="1:9" ht="18" customHeight="1">
      <c r="A6" s="27" t="s">
        <v>128</v>
      </c>
      <c r="B6" s="35" t="s">
        <v>41</v>
      </c>
      <c r="C6" s="36">
        <v>19500000</v>
      </c>
      <c r="D6" s="36">
        <v>13000000</v>
      </c>
      <c r="E6" s="36">
        <f>19500000+1000000</f>
        <v>20500000</v>
      </c>
      <c r="F6" s="14">
        <f t="shared" si="0"/>
        <v>105.12820512820514</v>
      </c>
      <c r="G6" s="14">
        <f t="shared" si="1"/>
        <v>66.66666666666666</v>
      </c>
      <c r="H6" s="26"/>
      <c r="I6" s="26"/>
    </row>
    <row r="7" spans="1:7" ht="18" customHeight="1">
      <c r="A7" s="44" t="s">
        <v>130</v>
      </c>
      <c r="B7" s="35" t="s">
        <v>354</v>
      </c>
      <c r="C7" s="36">
        <f>43300000+1300000</f>
        <v>44600000</v>
      </c>
      <c r="D7" s="36">
        <v>35027123</v>
      </c>
      <c r="E7" s="36">
        <f>43300000+1300000</f>
        <v>44600000</v>
      </c>
      <c r="F7" s="14">
        <f t="shared" si="0"/>
        <v>100</v>
      </c>
      <c r="G7" s="14">
        <f t="shared" si="1"/>
        <v>78.53615022421525</v>
      </c>
    </row>
    <row r="8" spans="1:7" ht="18" customHeight="1">
      <c r="A8" s="44" t="s">
        <v>129</v>
      </c>
      <c r="B8" s="35" t="s">
        <v>39</v>
      </c>
      <c r="C8" s="36">
        <v>7500000</v>
      </c>
      <c r="D8" s="36">
        <v>3290000</v>
      </c>
      <c r="E8" s="36">
        <v>7500000</v>
      </c>
      <c r="F8" s="14">
        <f t="shared" si="0"/>
        <v>100</v>
      </c>
      <c r="G8" s="14">
        <f t="shared" si="1"/>
        <v>43.86666666666667</v>
      </c>
    </row>
    <row r="9" spans="1:8" ht="18" customHeight="1">
      <c r="A9" s="27" t="s">
        <v>127</v>
      </c>
      <c r="B9" s="35" t="s">
        <v>290</v>
      </c>
      <c r="C9" s="36">
        <v>48000000</v>
      </c>
      <c r="D9" s="36">
        <v>34901458</v>
      </c>
      <c r="E9" s="36">
        <v>55751000</v>
      </c>
      <c r="F9" s="14">
        <f t="shared" si="0"/>
        <v>116.14791666666666</v>
      </c>
      <c r="G9" s="14">
        <f t="shared" si="1"/>
        <v>72.71137083333333</v>
      </c>
      <c r="H9" s="26">
        <f>SUM(D9:D13)</f>
        <v>45539536</v>
      </c>
    </row>
    <row r="10" spans="1:7" ht="18" customHeight="1">
      <c r="A10" s="27" t="s">
        <v>127</v>
      </c>
      <c r="B10" s="35" t="s">
        <v>291</v>
      </c>
      <c r="C10" s="36">
        <v>6700000</v>
      </c>
      <c r="D10" s="36">
        <v>4938656</v>
      </c>
      <c r="E10" s="36">
        <v>7388000</v>
      </c>
      <c r="F10" s="14">
        <f t="shared" si="0"/>
        <v>110.2686567164179</v>
      </c>
      <c r="G10" s="14">
        <f t="shared" si="1"/>
        <v>73.71128358208955</v>
      </c>
    </row>
    <row r="11" spans="1:7" ht="18" customHeight="1">
      <c r="A11" s="27" t="s">
        <v>127</v>
      </c>
      <c r="B11" s="35" t="s">
        <v>292</v>
      </c>
      <c r="C11" s="36">
        <v>9429502</v>
      </c>
      <c r="D11" s="36">
        <v>3699422</v>
      </c>
      <c r="E11" s="36">
        <v>4223000</v>
      </c>
      <c r="F11" s="14">
        <f t="shared" si="0"/>
        <v>44.7849737981921</v>
      </c>
      <c r="G11" s="14">
        <f t="shared" si="1"/>
        <v>39.23242181824661</v>
      </c>
    </row>
    <row r="12" spans="1:7" ht="18" customHeight="1">
      <c r="A12" s="27" t="s">
        <v>127</v>
      </c>
      <c r="B12" s="35" t="s">
        <v>302</v>
      </c>
      <c r="C12" s="36">
        <v>2000000</v>
      </c>
      <c r="D12" s="36">
        <v>1333333</v>
      </c>
      <c r="E12" s="36">
        <v>2027000</v>
      </c>
      <c r="F12" s="14">
        <f t="shared" si="0"/>
        <v>101.35000000000001</v>
      </c>
      <c r="G12" s="14">
        <f t="shared" si="1"/>
        <v>66.66665</v>
      </c>
    </row>
    <row r="13" spans="1:7" ht="18" customHeight="1">
      <c r="A13" s="27" t="s">
        <v>127</v>
      </c>
      <c r="B13" s="35" t="s">
        <v>303</v>
      </c>
      <c r="C13" s="36">
        <v>1000000</v>
      </c>
      <c r="D13" s="36">
        <v>666667</v>
      </c>
      <c r="E13" s="36">
        <v>1256000</v>
      </c>
      <c r="F13" s="14">
        <f t="shared" si="0"/>
        <v>125.6</v>
      </c>
      <c r="G13" s="14">
        <f t="shared" si="1"/>
        <v>66.6667</v>
      </c>
    </row>
    <row r="14" spans="1:7" ht="18" customHeight="1">
      <c r="A14" s="44" t="s">
        <v>126</v>
      </c>
      <c r="B14" s="35" t="s">
        <v>355</v>
      </c>
      <c r="C14" s="36">
        <v>39849000</v>
      </c>
      <c r="D14" s="36">
        <v>23113450</v>
      </c>
      <c r="E14" s="36">
        <f>39849000+3000000+3000000</f>
        <v>45849000</v>
      </c>
      <c r="F14" s="14">
        <f t="shared" si="0"/>
        <v>115.05683956937438</v>
      </c>
      <c r="G14" s="14">
        <f t="shared" si="1"/>
        <v>58.00258475745941</v>
      </c>
    </row>
    <row r="15" spans="1:7" ht="18" customHeight="1">
      <c r="A15" s="44" t="s">
        <v>125</v>
      </c>
      <c r="B15" s="35" t="s">
        <v>252</v>
      </c>
      <c r="C15" s="36">
        <f>60000000+21500000</f>
        <v>81500000</v>
      </c>
      <c r="D15" s="36">
        <v>81000000</v>
      </c>
      <c r="E15" s="36">
        <f>60000000+21500000</f>
        <v>81500000</v>
      </c>
      <c r="F15" s="14">
        <f t="shared" si="0"/>
        <v>100</v>
      </c>
      <c r="G15" s="14">
        <f t="shared" si="1"/>
        <v>99.38650306748467</v>
      </c>
    </row>
    <row r="16" spans="1:7" ht="18" customHeight="1">
      <c r="A16" s="27" t="s">
        <v>139</v>
      </c>
      <c r="B16" s="11" t="s">
        <v>253</v>
      </c>
      <c r="C16" s="36">
        <v>1785000</v>
      </c>
      <c r="D16" s="36"/>
      <c r="E16" s="36">
        <v>1785000</v>
      </c>
      <c r="F16" s="14">
        <f t="shared" si="0"/>
        <v>100</v>
      </c>
      <c r="G16" s="14">
        <f t="shared" si="1"/>
        <v>0</v>
      </c>
    </row>
    <row r="17" spans="1:7" ht="18" customHeight="1">
      <c r="A17" s="27" t="s">
        <v>140</v>
      </c>
      <c r="B17" s="11" t="s">
        <v>218</v>
      </c>
      <c r="C17" s="36">
        <f>10000000+1000000</f>
        <v>11000000</v>
      </c>
      <c r="D17" s="36">
        <v>11101636</v>
      </c>
      <c r="E17" s="36">
        <f>10000000+1000000+10000000</f>
        <v>21000000</v>
      </c>
      <c r="F17" s="14">
        <f t="shared" si="0"/>
        <v>190.9090909090909</v>
      </c>
      <c r="G17" s="14">
        <f t="shared" si="1"/>
        <v>100.92396363636365</v>
      </c>
    </row>
    <row r="18" spans="1:7" ht="18" customHeight="1">
      <c r="A18" s="44" t="s">
        <v>141</v>
      </c>
      <c r="B18" s="35" t="s">
        <v>185</v>
      </c>
      <c r="C18" s="36">
        <f>7500000+4000000</f>
        <v>11500000</v>
      </c>
      <c r="D18" s="36">
        <v>11560496</v>
      </c>
      <c r="E18" s="36">
        <f>7500000+4000000+1900000</f>
        <v>13400000</v>
      </c>
      <c r="F18" s="14">
        <f t="shared" si="0"/>
        <v>116.52173913043478</v>
      </c>
      <c r="G18" s="14">
        <f t="shared" si="1"/>
        <v>100.52605217391304</v>
      </c>
    </row>
    <row r="19" spans="1:7" ht="18" customHeight="1">
      <c r="A19" s="44" t="s">
        <v>152</v>
      </c>
      <c r="B19" s="35" t="s">
        <v>241</v>
      </c>
      <c r="C19" s="36">
        <f>29500000+5500000-1300000</f>
        <v>33700000</v>
      </c>
      <c r="D19" s="36">
        <v>21698858</v>
      </c>
      <c r="E19" s="36">
        <f>29500000+5500000-1300000+1000000</f>
        <v>34700000</v>
      </c>
      <c r="F19" s="14">
        <f t="shared" si="0"/>
        <v>102.9673590504451</v>
      </c>
      <c r="G19" s="14">
        <f t="shared" si="1"/>
        <v>64.38830267062315</v>
      </c>
    </row>
    <row r="20" spans="1:7" ht="18" customHeight="1">
      <c r="A20" s="44"/>
      <c r="B20" s="45" t="s">
        <v>242</v>
      </c>
      <c r="C20" s="36"/>
      <c r="D20" s="36"/>
      <c r="E20" s="36"/>
      <c r="F20" s="14"/>
      <c r="G20" s="14"/>
    </row>
    <row r="21" spans="1:7" ht="18" customHeight="1">
      <c r="A21" s="44" t="s">
        <v>311</v>
      </c>
      <c r="B21" s="11" t="s">
        <v>312</v>
      </c>
      <c r="C21" s="36">
        <v>5000000</v>
      </c>
      <c r="D21" s="36">
        <v>1087930</v>
      </c>
      <c r="E21" s="36">
        <f>5000000-3500000</f>
        <v>1500000</v>
      </c>
      <c r="F21" s="14">
        <f t="shared" si="0"/>
        <v>30</v>
      </c>
      <c r="G21" s="14">
        <f t="shared" si="1"/>
        <v>21.7586</v>
      </c>
    </row>
    <row r="22" spans="1:7" ht="18" customHeight="1">
      <c r="A22" s="44"/>
      <c r="B22" s="11"/>
      <c r="C22" s="36"/>
      <c r="D22" s="36"/>
      <c r="E22" s="36"/>
      <c r="F22" s="14"/>
      <c r="G22" s="14"/>
    </row>
    <row r="23" spans="1:7" ht="18" customHeight="1" thickBot="1">
      <c r="A23" s="3"/>
      <c r="B23" s="46" t="s">
        <v>190</v>
      </c>
      <c r="C23" s="37">
        <f>SUM(C3:C22)</f>
        <v>356013902</v>
      </c>
      <c r="D23" s="37">
        <f>SUM(D3:D22)</f>
        <v>269174044</v>
      </c>
      <c r="E23" s="37">
        <f>SUM(E3:E22)</f>
        <v>375929400</v>
      </c>
      <c r="F23" s="10">
        <f t="shared" si="0"/>
        <v>105.59402256151222</v>
      </c>
      <c r="G23" s="10">
        <f t="shared" si="1"/>
        <v>75.60773399236528</v>
      </c>
    </row>
    <row r="24" spans="1:7" ht="18" customHeight="1">
      <c r="A24" s="47"/>
      <c r="B24" s="48"/>
      <c r="C24" s="49"/>
      <c r="D24" s="49"/>
      <c r="E24" s="49"/>
      <c r="F24" s="50"/>
      <c r="G24" s="50"/>
    </row>
    <row r="25" spans="1:7" ht="18" customHeight="1">
      <c r="A25" s="51"/>
      <c r="B25" s="52"/>
      <c r="C25" s="53"/>
      <c r="D25" s="53"/>
      <c r="E25" s="53"/>
      <c r="F25" s="54"/>
      <c r="G25" s="54"/>
    </row>
    <row r="26" spans="1:7" ht="18" customHeight="1">
      <c r="A26" s="51"/>
      <c r="B26" s="55"/>
      <c r="C26" s="56"/>
      <c r="D26" s="56"/>
      <c r="E26" s="56"/>
      <c r="F26" s="54"/>
      <c r="G26" s="54"/>
    </row>
    <row r="27" spans="1:7" ht="18" customHeight="1">
      <c r="A27" s="51"/>
      <c r="B27" s="57"/>
      <c r="C27" s="53"/>
      <c r="D27" s="53"/>
      <c r="E27" s="53"/>
      <c r="F27" s="58"/>
      <c r="G27" s="58"/>
    </row>
    <row r="28" spans="1:7" ht="18" customHeight="1">
      <c r="A28" s="51"/>
      <c r="B28" s="52"/>
      <c r="C28" s="53"/>
      <c r="D28" s="53"/>
      <c r="E28" s="53"/>
      <c r="F28" s="54"/>
      <c r="G28" s="54"/>
    </row>
    <row r="29" spans="1:7" ht="18" customHeight="1">
      <c r="A29" s="51"/>
      <c r="B29" s="57"/>
      <c r="C29" s="53"/>
      <c r="D29" s="53"/>
      <c r="E29" s="53"/>
      <c r="F29" s="58"/>
      <c r="G29" s="58"/>
    </row>
    <row r="35" ht="18" customHeight="1">
      <c r="B35" s="21"/>
    </row>
    <row r="37" ht="18" customHeight="1">
      <c r="B37" s="21"/>
    </row>
    <row r="41" ht="18" customHeight="1">
      <c r="B41" s="21"/>
    </row>
    <row r="44" ht="18" customHeight="1">
      <c r="B44" s="21"/>
    </row>
    <row r="49" ht="18" customHeight="1">
      <c r="B49" s="21"/>
    </row>
  </sheetData>
  <printOptions/>
  <pageMargins left="0.38" right="0.17" top="1.17" bottom="1.01" header="0.41" footer="0.5511811023622047"/>
  <pageSetup firstPageNumber="20" useFirstPageNumber="1" horizontalDpi="360" verticalDpi="360" orientation="portrait" paperSize="9" scale="94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2004-10-05T07:11:11Z</cp:lastPrinted>
  <dcterms:created xsi:type="dcterms:W3CDTF">1999-04-13T10:37:05Z</dcterms:created>
  <dcterms:modified xsi:type="dcterms:W3CDTF">2003-03-11T12:46:28Z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