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85" tabRatio="883" activeTab="0"/>
  </bookViews>
  <sheets>
    <sheet name="1. MESTNA UPRAVA" sheetId="1" r:id="rId1"/>
    <sheet name="2. CIVILNA ZAŠČITA , GASILCI" sheetId="2" r:id="rId2"/>
    <sheet name="3. INFRASTRUKTURA" sheetId="3" r:id="rId3"/>
    <sheet name="4. OKOLJE IN PROSTOR" sheetId="4" r:id="rId4"/>
    <sheet name="5. GOSPODARSTVO" sheetId="5" r:id="rId5"/>
    <sheet name="6. ŠOLSTVO" sheetId="6" r:id="rId6"/>
    <sheet name="7. OTROŠKO VARSTVO" sheetId="7" r:id="rId7"/>
    <sheet name="8. KULTURA" sheetId="8" r:id="rId8"/>
    <sheet name="9. ŠPORT" sheetId="9" r:id="rId9"/>
    <sheet name="10. SOCIALNO VARSTVO" sheetId="10" r:id="rId10"/>
    <sheet name="11. ZDRAVSTVO" sheetId="11" r:id="rId11"/>
    <sheet name="12. MLADINSKA DEJAVNOST" sheetId="12" r:id="rId12"/>
    <sheet name="13. SPLOŠNI DEL" sheetId="13" r:id="rId13"/>
  </sheets>
  <definedNames>
    <definedName name="_xlnm.Print_Area" localSheetId="0">'1. MESTNA UPRAVA'!$A$1:$G$27</definedName>
    <definedName name="_xlnm.Print_Area" localSheetId="9">'10. SOCIALNO VARSTVO'!$A$1:$G$18</definedName>
    <definedName name="_xlnm.Print_Area" localSheetId="10">'11. ZDRAVSTVO'!$A$1:$G$8</definedName>
    <definedName name="_xlnm.Print_Area" localSheetId="11">'12. MLADINSKA DEJAVNOST'!$A$1:$G$9</definedName>
    <definedName name="_xlnm.Print_Area" localSheetId="12">'13. SPLOŠNI DEL'!$A$1:$G$36</definedName>
    <definedName name="_xlnm.Print_Area" localSheetId="1">'2. CIVILNA ZAŠČITA , GASILCI'!$A$1:$G$19</definedName>
    <definedName name="_xlnm.Print_Area" localSheetId="2">'3. INFRASTRUKTURA'!$A$1:$G$32</definedName>
    <definedName name="_xlnm.Print_Area" localSheetId="3">'4. OKOLJE IN PROSTOR'!$A$1:$G$9</definedName>
    <definedName name="_xlnm.Print_Area" localSheetId="4">'5. GOSPODARSTVO'!$A$1:$G$32</definedName>
    <definedName name="_xlnm.Print_Area" localSheetId="5">'6. ŠOLSTVO'!$A$1:$G$22</definedName>
    <definedName name="_xlnm.Print_Area" localSheetId="6">'7. OTROŠKO VARSTVO'!$A$1:$G$15</definedName>
    <definedName name="_xlnm.Print_Area" localSheetId="7">'8. KULTURA'!$A$1:$G$33</definedName>
    <definedName name="_xlnm.Print_Area" localSheetId="8">'9. ŠPORT'!$A$1:$G$28</definedName>
    <definedName name="_xlnm.Print_Titles" localSheetId="0">'1. MESTNA UPRAVA'!$1:$2</definedName>
    <definedName name="_xlnm.Print_Titles" localSheetId="12">'13. SPLOŠNI DEL'!$1:$2</definedName>
    <definedName name="_xlnm.Print_Titles" localSheetId="2">'3. INFRASTRUKTURA'!$1:$2</definedName>
    <definedName name="_xlnm.Print_Titles" localSheetId="4">'5. GOSPODARSTVO'!$1:$2</definedName>
    <definedName name="_xlnm.Print_Titles" localSheetId="5">'6. ŠOLSTVO'!$1:$2</definedName>
    <definedName name="_xlnm.Print_Titles" localSheetId="7">'8. KULTURA'!$1:$2</definedName>
  </definedNames>
  <calcPr fullCalcOnLoad="1"/>
</workbook>
</file>

<file path=xl/sharedStrings.xml><?xml version="1.0" encoding="utf-8"?>
<sst xmlns="http://schemas.openxmlformats.org/spreadsheetml/2006/main" count="560" uniqueCount="358">
  <si>
    <t>Plače in dodatki</t>
  </si>
  <si>
    <t>Regres za letni dopust</t>
  </si>
  <si>
    <t>Povračila in nadomestila</t>
  </si>
  <si>
    <t>Sredstva za delovno uspešnost</t>
  </si>
  <si>
    <t>Sredstva za nadurno delo</t>
  </si>
  <si>
    <t>Drugi izdatki zaposlenim</t>
  </si>
  <si>
    <t>Pisarniški in splošni material in storitve</t>
  </si>
  <si>
    <t>Posebni material in storitve</t>
  </si>
  <si>
    <t>Prevozni stroški in storitve</t>
  </si>
  <si>
    <t>Izdatki za službena potovanja</t>
  </si>
  <si>
    <t>Tekoče vzdrževanje</t>
  </si>
  <si>
    <t>Najemnine in zakupnine</t>
  </si>
  <si>
    <t>Drugi operativni odhodki</t>
  </si>
  <si>
    <t>Nakup opreme</t>
  </si>
  <si>
    <t>Investicijsko vzdrževanje in obnove</t>
  </si>
  <si>
    <t>Investicijsko vzdrževanje in izboljšave</t>
  </si>
  <si>
    <t>Pogrebni stroški in mrtvoogledna služba</t>
  </si>
  <si>
    <t>Vzdrževanje grobišč in spomenikov</t>
  </si>
  <si>
    <t>Zveza potrošnikov</t>
  </si>
  <si>
    <t>Plačilo javne razsvetljave</t>
  </si>
  <si>
    <t>Subvencije za prevoz pitne vode</t>
  </si>
  <si>
    <t>Subvencije za kritje izgub v javnem prometu</t>
  </si>
  <si>
    <t>Financiranje političnih strank</t>
  </si>
  <si>
    <t>Zveza združenj borcev NOV</t>
  </si>
  <si>
    <t xml:space="preserve"> </t>
  </si>
  <si>
    <t>Redno vzdrževanje lokalnih cest in ulic</t>
  </si>
  <si>
    <t>Sanacija nelegalnih odlagališč</t>
  </si>
  <si>
    <t>Občinske nagrade</t>
  </si>
  <si>
    <t>POSTAV.</t>
  </si>
  <si>
    <t>PRORAČ.</t>
  </si>
  <si>
    <t>Drugi odhodki dejavnosti</t>
  </si>
  <si>
    <t>Primorska srečanja</t>
  </si>
  <si>
    <t>Samostojni nosilci</t>
  </si>
  <si>
    <t>Od tega:</t>
  </si>
  <si>
    <t>Subvencije stanarin</t>
  </si>
  <si>
    <t>Humanitarna društva</t>
  </si>
  <si>
    <t>Preprečevanje zasvojenosti</t>
  </si>
  <si>
    <t>Večje prireditve</t>
  </si>
  <si>
    <t>OZOTK služba</t>
  </si>
  <si>
    <t>OZOTK program</t>
  </si>
  <si>
    <t>Program CINDI</t>
  </si>
  <si>
    <t>Rdeči križ - stroški najema skladišča</t>
  </si>
  <si>
    <t>RAČUN FINANČNIH TERJATEV IN NALOŽB</t>
  </si>
  <si>
    <t>O P I S</t>
  </si>
  <si>
    <t>01,03</t>
  </si>
  <si>
    <t>01,01</t>
  </si>
  <si>
    <t>INDEKS</t>
  </si>
  <si>
    <t>13,01</t>
  </si>
  <si>
    <t>13,21</t>
  </si>
  <si>
    <t>13,20</t>
  </si>
  <si>
    <t>13,14</t>
  </si>
  <si>
    <t>13,15</t>
  </si>
  <si>
    <t>13,19</t>
  </si>
  <si>
    <t>13,16</t>
  </si>
  <si>
    <t>13,18</t>
  </si>
  <si>
    <t>01,02</t>
  </si>
  <si>
    <t>02,11</t>
  </si>
  <si>
    <t>02,09</t>
  </si>
  <si>
    <t>02,01</t>
  </si>
  <si>
    <t>02,07</t>
  </si>
  <si>
    <t>02,06</t>
  </si>
  <si>
    <t>02,05</t>
  </si>
  <si>
    <t>02,04</t>
  </si>
  <si>
    <t>02,03</t>
  </si>
  <si>
    <t>02,02</t>
  </si>
  <si>
    <t>03,24</t>
  </si>
  <si>
    <t>03,23</t>
  </si>
  <si>
    <t>03,21</t>
  </si>
  <si>
    <t>03,20</t>
  </si>
  <si>
    <t>03,07</t>
  </si>
  <si>
    <t>03,18</t>
  </si>
  <si>
    <t>03,17</t>
  </si>
  <si>
    <t>03,16</t>
  </si>
  <si>
    <t>03,15</t>
  </si>
  <si>
    <t>03,14</t>
  </si>
  <si>
    <t>03,13</t>
  </si>
  <si>
    <t>03,12</t>
  </si>
  <si>
    <t>03,11</t>
  </si>
  <si>
    <t>03,10</t>
  </si>
  <si>
    <t>03,09</t>
  </si>
  <si>
    <t>03,08</t>
  </si>
  <si>
    <t>03,05</t>
  </si>
  <si>
    <t>03,03</t>
  </si>
  <si>
    <t>03,02</t>
  </si>
  <si>
    <t>03,01</t>
  </si>
  <si>
    <r>
      <t>04,03</t>
    </r>
  </si>
  <si>
    <r>
      <t>04,02</t>
    </r>
  </si>
  <si>
    <t>04,01</t>
  </si>
  <si>
    <t>05,07</t>
  </si>
  <si>
    <t>05,09</t>
  </si>
  <si>
    <t>05,06</t>
  </si>
  <si>
    <r>
      <t>05,05</t>
    </r>
  </si>
  <si>
    <t>05,04</t>
  </si>
  <si>
    <r>
      <t>05,03</t>
    </r>
  </si>
  <si>
    <t>05,02</t>
  </si>
  <si>
    <t>05,01</t>
  </si>
  <si>
    <t>08,12</t>
  </si>
  <si>
    <t>08,11</t>
  </si>
  <si>
    <t>08,10</t>
  </si>
  <si>
    <t>08,09</t>
  </si>
  <si>
    <t>08,08</t>
  </si>
  <si>
    <t>08,07</t>
  </si>
  <si>
    <t>08,06</t>
  </si>
  <si>
    <t>08,05</t>
  </si>
  <si>
    <t>08,04</t>
  </si>
  <si>
    <t>08,03</t>
  </si>
  <si>
    <t>08,02</t>
  </si>
  <si>
    <t>08,01</t>
  </si>
  <si>
    <t>06,14</t>
  </si>
  <si>
    <t>06,10</t>
  </si>
  <si>
    <t>06,09</t>
  </si>
  <si>
    <t>06,08</t>
  </si>
  <si>
    <t>06,07</t>
  </si>
  <si>
    <t>06,05</t>
  </si>
  <si>
    <t>06,03</t>
  </si>
  <si>
    <t>06,02</t>
  </si>
  <si>
    <t>06,01</t>
  </si>
  <si>
    <t>07,01</t>
  </si>
  <si>
    <t>07,02</t>
  </si>
  <si>
    <t>07,03</t>
  </si>
  <si>
    <t>07,04</t>
  </si>
  <si>
    <t>07,05</t>
  </si>
  <si>
    <t>09,14</t>
  </si>
  <si>
    <t>09,08</t>
  </si>
  <si>
    <t>09,07</t>
  </si>
  <si>
    <t>09,03</t>
  </si>
  <si>
    <t>09,05</t>
  </si>
  <si>
    <t>09,04</t>
  </si>
  <si>
    <t>09,02</t>
  </si>
  <si>
    <t>09,01</t>
  </si>
  <si>
    <t>Splošna proračunska rezervacija</t>
  </si>
  <si>
    <t>13,23</t>
  </si>
  <si>
    <t>Sofinanciranje SAZU</t>
  </si>
  <si>
    <t>05,11</t>
  </si>
  <si>
    <t>05,13</t>
  </si>
  <si>
    <t>05,17</t>
  </si>
  <si>
    <t>09,15</t>
  </si>
  <si>
    <t>09,16</t>
  </si>
  <si>
    <t>09,17</t>
  </si>
  <si>
    <t>05,18</t>
  </si>
  <si>
    <t>05,20</t>
  </si>
  <si>
    <t>Proračunska rezerva</t>
  </si>
  <si>
    <t>Financiranje delovanja KS  PRILOGA 11</t>
  </si>
  <si>
    <t xml:space="preserve">Stroški oglaševalskih storitev </t>
  </si>
  <si>
    <t xml:space="preserve"> -najemnine</t>
  </si>
  <si>
    <t xml:space="preserve"> -pokroviteljstva in sponzorstva</t>
  </si>
  <si>
    <t>08,18</t>
  </si>
  <si>
    <t>Regresiranje prevozov  v šolo</t>
  </si>
  <si>
    <t>Sklad za izobraževanje</t>
  </si>
  <si>
    <t>Najemnina prostorov za visoko šolstvo</t>
  </si>
  <si>
    <t>Štipendije</t>
  </si>
  <si>
    <t>06,15</t>
  </si>
  <si>
    <t>09,18</t>
  </si>
  <si>
    <t>Združenje veteranov vojne za Slovenijo</t>
  </si>
  <si>
    <t xml:space="preserve">Nakup zemljišč </t>
  </si>
  <si>
    <t>Sofinanciranje ambulante Čepovan</t>
  </si>
  <si>
    <t>GK - za nakup knjig</t>
  </si>
  <si>
    <t>Pomoč na domu</t>
  </si>
  <si>
    <t>Protokolarne zadeve:</t>
  </si>
  <si>
    <t>Mala šola in cicibanove urice</t>
  </si>
  <si>
    <t>04,04</t>
  </si>
  <si>
    <t>01,04</t>
  </si>
  <si>
    <t>01,05</t>
  </si>
  <si>
    <t>01,06</t>
  </si>
  <si>
    <t>01,07</t>
  </si>
  <si>
    <t>01,08</t>
  </si>
  <si>
    <t>01,10</t>
  </si>
  <si>
    <t>01,12</t>
  </si>
  <si>
    <t>01,13</t>
  </si>
  <si>
    <t>13,10</t>
  </si>
  <si>
    <t>13,11</t>
  </si>
  <si>
    <t>13,12</t>
  </si>
  <si>
    <t>13,17</t>
  </si>
  <si>
    <t>13,24</t>
  </si>
  <si>
    <t>POST.</t>
  </si>
  <si>
    <t>Plačila po pogodbah o delu - Mestni svet</t>
  </si>
  <si>
    <t>06,04</t>
  </si>
  <si>
    <t>Mednarodno sodelovanje in sub. Evropske hiše</t>
  </si>
  <si>
    <t>Akcije v kulturi  - PRILOGA 7</t>
  </si>
  <si>
    <t>Projekt "E - občina"</t>
  </si>
  <si>
    <t>Cisterna za prevoz pitne vode - PGD Dornberk</t>
  </si>
  <si>
    <t xml:space="preserve"> -proslave, pogostitve, sprejemi</t>
  </si>
  <si>
    <t xml:space="preserve"> -občinski praznik (prireditve, sprejemi)</t>
  </si>
  <si>
    <t>Svet za preventivo in vzgojo v cestnem prometu</t>
  </si>
  <si>
    <t>Regresiranje socialno šibkih</t>
  </si>
  <si>
    <t>Regresiranje oskrbe v domovih ostarelih</t>
  </si>
  <si>
    <t>Sredstva za vzdrževanje igrišč</t>
  </si>
  <si>
    <t>Doplačilo za otroke v drugih občinah</t>
  </si>
  <si>
    <t>Sofinciranje LJUDSKE UNIVERZE</t>
  </si>
  <si>
    <t>Invest. vzdrževnje in izboljšave - PRILOGA 17</t>
  </si>
  <si>
    <t xml:space="preserve">VSE SKUPAJ   </t>
  </si>
  <si>
    <t xml:space="preserve">SKUPAJ   </t>
  </si>
  <si>
    <t xml:space="preserve"> SKUPAJ   </t>
  </si>
  <si>
    <t>Program zaščite živali, azil za pse</t>
  </si>
  <si>
    <t>Najemnina kinodvorane - KD</t>
  </si>
  <si>
    <t>Prispevki za zdravstveno zavarovanje</t>
  </si>
  <si>
    <t>Prispevki za zaposlovanje</t>
  </si>
  <si>
    <t>Prispevki za porodniško varstvo</t>
  </si>
  <si>
    <t>Plačilo komunalnih storitev (splošna dejavnost)</t>
  </si>
  <si>
    <t>Urejanje stavbnih zemljišč - PRILOGA 15</t>
  </si>
  <si>
    <t>Širitev mreže javne razsvetljave - PRILOGA 16</t>
  </si>
  <si>
    <t>Urejanje mesta - PRILOGA 2</t>
  </si>
  <si>
    <t>Sofinanciranje vzdrževalnih del na gozdnih poteh</t>
  </si>
  <si>
    <t>Sofinanciranje vzdrževanja železniških prehodov</t>
  </si>
  <si>
    <t>Zaščita in urejanje šolskih površin</t>
  </si>
  <si>
    <t>Sredstva za izvajanje programa vinske ceste</t>
  </si>
  <si>
    <t>Subvencije v kmetijstvo - regresiranje</t>
  </si>
  <si>
    <t>Sofinanciranje projektov s področja kmetijstva</t>
  </si>
  <si>
    <t>Sredstva za programe Turistična zveze</t>
  </si>
  <si>
    <t>Sredstva za programe - Turistična društva</t>
  </si>
  <si>
    <t>Ureditev prostorov in stroški delovanja TIC</t>
  </si>
  <si>
    <t xml:space="preserve">Tekoči transferi - sredstva za plače </t>
  </si>
  <si>
    <t>Tekoči transferi - sredstva za prispevke</t>
  </si>
  <si>
    <t>Tekoči transferi - sredstva za blago in storitve</t>
  </si>
  <si>
    <t>Sredstva za opremljanje učilnic 9-letne OŠ</t>
  </si>
  <si>
    <t xml:space="preserve">  - delež za materialne stroške potujoče knjižnice</t>
  </si>
  <si>
    <t>Kulturni dom - koncertni abonma</t>
  </si>
  <si>
    <t xml:space="preserve">Tekoči transferi - sredstva za blago in storitve </t>
  </si>
  <si>
    <t>Zveza kulturnih društev</t>
  </si>
  <si>
    <t>Kinomatografija - Program ART - filma</t>
  </si>
  <si>
    <t>Sofinanc. delovanja smučarskih naprav na Lokvah</t>
  </si>
  <si>
    <t>Tekoči transferi - sredstva za plače  CSD NG</t>
  </si>
  <si>
    <t>Tekoči transferi - sredstva za prispevke CSD NG</t>
  </si>
  <si>
    <t>Tekoči transferi -sred. za blago,storit. CSD NG</t>
  </si>
  <si>
    <t>Tekoči transferi - sredstva za plače  CPD NG</t>
  </si>
  <si>
    <t>Tekoči transferi - sredstva za prispevke CPD NG</t>
  </si>
  <si>
    <t>Tekoči transferi -sred. za blago,storit. CPD NG</t>
  </si>
  <si>
    <t>Plačilo zdravstvenih prisp. za nezavarovane osebe</t>
  </si>
  <si>
    <t>Namenska sredstva za najemnino ZD Dornberk</t>
  </si>
  <si>
    <t>Najemnine in zakupnine za dr. objekt.- Mostovna</t>
  </si>
  <si>
    <t>Sredstva za blago, storitve - MLADINSKI CENTER</t>
  </si>
  <si>
    <t>Nakup drugih osnov. sredstev za Mladinski center</t>
  </si>
  <si>
    <t>Prispevek MO za izvajanje programa javnih del</t>
  </si>
  <si>
    <t>Vzdrževanje kulturnih domov v KS   PRILOGA 12</t>
  </si>
  <si>
    <t>Sredstva za programe visokega šolstva</t>
  </si>
  <si>
    <t>Ljubiteljstvo - Zveza kulturnih društev</t>
  </si>
  <si>
    <t>Ljubiteljstvo - Sklad kulturnih dejavnosti</t>
  </si>
  <si>
    <t>Sofinan. in org. prireditev, praznovanj in prvenstev</t>
  </si>
  <si>
    <t>Povečanje kapitalskih deležev v privat. podj.</t>
  </si>
  <si>
    <t>10,10</t>
  </si>
  <si>
    <t>Sofinanciranje materinskega doma</t>
  </si>
  <si>
    <t>Sof.spomenika braniteljem zahodne meje-Op.Selo</t>
  </si>
  <si>
    <t>Sredstva za programe CRPOV (Tabor)</t>
  </si>
  <si>
    <t>01,15</t>
  </si>
  <si>
    <t>Galerija - nakup likovnih del</t>
  </si>
  <si>
    <t>Stanovanjski sklad - sredstva za delovanje</t>
  </si>
  <si>
    <t>Pomoč športnim klubom in društvom za pionirske,</t>
  </si>
  <si>
    <t>kadetske in mladinske selekcije</t>
  </si>
  <si>
    <t>REALIZACIJA</t>
  </si>
  <si>
    <t>08,19</t>
  </si>
  <si>
    <t>Prispevki za pokojnin. in invalid. zavarovanje</t>
  </si>
  <si>
    <t>Energija, voda, komunalne storit. in komunik.</t>
  </si>
  <si>
    <t>PROR.</t>
  </si>
  <si>
    <t>Intervent. posegi na področju komun. in cest. gosp.</t>
  </si>
  <si>
    <t>Obvez. iz kupnin od prodanih stan. (RSS,ROS)</t>
  </si>
  <si>
    <t>Inv.v posod.cest.omr.in promet.ur. PRILOGA 1</t>
  </si>
  <si>
    <t>Odkup gradb.objekt.,prip.d.,dokum. obv.Solkan</t>
  </si>
  <si>
    <t>Dokument. za komunalne naprave PRILOGA 4</t>
  </si>
  <si>
    <t>Sanacija in izgrad. komunal. objektov PRILOGA 5</t>
  </si>
  <si>
    <t>Izgrad. komunal. objektov - vodovodi PRILOGA 6</t>
  </si>
  <si>
    <t>Sofin. Medobčinskega društva prijateljev mladine</t>
  </si>
  <si>
    <t>Izdel.proj.in izgrad.šport.dvorane osnov.in sred. šol</t>
  </si>
  <si>
    <t>Ured. športnega parka in adaptacija šport. dvorane</t>
  </si>
  <si>
    <t>Sofinanc. nakupa kombija za športno dejavnost</t>
  </si>
  <si>
    <t>Investicije ZD Dornberk</t>
  </si>
  <si>
    <t>Vzdrževanje objektov in opreme Civilne zaščite</t>
  </si>
  <si>
    <t>Usposabljanje,vaje,akcije,zavarovanja,najemnine</t>
  </si>
  <si>
    <t>Tekoči odh. JZ za gasilsko in reševalsko dejavnost</t>
  </si>
  <si>
    <t>Stroški intervencij ob naravnih in drugih nesrečah</t>
  </si>
  <si>
    <t>Sred. za protipožarno dejavnost Gasilskih društev</t>
  </si>
  <si>
    <t>Sof. društev pomembnih za zaščito in reševanje</t>
  </si>
  <si>
    <t>Nakup opreme za civilno zaščito</t>
  </si>
  <si>
    <t>Sredstva iz požarnega sklada</t>
  </si>
  <si>
    <t>Dejavnost Centra za socialno delo</t>
  </si>
  <si>
    <t>Urejanje prostorov in oprema za MOSTOVNO</t>
  </si>
  <si>
    <t>UNICEF - Otrokom prijazno mesto</t>
  </si>
  <si>
    <t>Sof. vzdrževal.del na krajevnih poteh PRILOGA 13</t>
  </si>
  <si>
    <t>Obveznosti po Zakonu o varstvu pri delu</t>
  </si>
  <si>
    <t>Nadomestila in prov.(DURS, Komunala, Vodovodi,..)</t>
  </si>
  <si>
    <t>06,16</t>
  </si>
  <si>
    <t>Novoletne obdaritve otrok</t>
  </si>
  <si>
    <t>Nakup specialnega gasil. vozila - PGD Čepovan</t>
  </si>
  <si>
    <t>Sofinanciranje programov tehnološkega parka</t>
  </si>
  <si>
    <t>Sofinanc. programov Regijske razvojne agencije</t>
  </si>
  <si>
    <t>05,22</t>
  </si>
  <si>
    <t>Finančne subvencije v gospodarstvu</t>
  </si>
  <si>
    <t>Izdel.promocijskega gradiva in turistična promocija</t>
  </si>
  <si>
    <t>13,30</t>
  </si>
  <si>
    <t>Vračilo ekološke takse - Petrol</t>
  </si>
  <si>
    <t>Subvenc. v kmetijstvo-urejanje kmetijskih zemljišč</t>
  </si>
  <si>
    <t>05,24</t>
  </si>
  <si>
    <t>Sklad dela</t>
  </si>
  <si>
    <t>13,31</t>
  </si>
  <si>
    <t>12,07</t>
  </si>
  <si>
    <t>Sof.nakupa prostorov za Primorski tehnološki park</t>
  </si>
  <si>
    <t>Stroški nakupa stavbe Primexa - davek, odkup</t>
  </si>
  <si>
    <t>Sofin. mlad.programov (KGŠ,Masovna in drugi)</t>
  </si>
  <si>
    <t>Strateški prostorski akti - PRILOGA 18</t>
  </si>
  <si>
    <t>Izvedbeni prostorski akti - PRILOGA 19</t>
  </si>
  <si>
    <t>Prostorski informacijski sistem - PRILOGA 20</t>
  </si>
  <si>
    <t>Okolje - PRILOGA 21</t>
  </si>
  <si>
    <t xml:space="preserve"> -protokol,simboli ,darila in nabave</t>
  </si>
  <si>
    <t>Komunal. objekti in razsvetljava v KS PRILOGA 14</t>
  </si>
  <si>
    <t>Goriška knjižnica</t>
  </si>
  <si>
    <t>Kulturni dom - galerijska dejavnost</t>
  </si>
  <si>
    <t>Sr.za p.CRPOV(Šempas,Ozeljan,Osek, Vitovlje, Šmihel)</t>
  </si>
  <si>
    <r>
      <t>Trenerji v kl.(</t>
    </r>
    <r>
      <rPr>
        <sz val="9"/>
        <rFont val="Arial CE"/>
        <family val="2"/>
      </rPr>
      <t>KK SE,NK HIT,KK,AK,KK HIT,OK,ŠK,RK</t>
    </r>
    <r>
      <rPr>
        <sz val="10"/>
        <rFont val="Arial CE"/>
        <family val="2"/>
      </rPr>
      <t>)</t>
    </r>
  </si>
  <si>
    <r>
      <t xml:space="preserve">Tekoči transferi - sredstva za plače </t>
    </r>
    <r>
      <rPr>
        <sz val="9"/>
        <rFont val="Arial CE"/>
        <family val="2"/>
      </rPr>
      <t>JZ ZA ŠPORT</t>
    </r>
  </si>
  <si>
    <r>
      <t xml:space="preserve">Tekoči transferi - sredstva za prisp. </t>
    </r>
    <r>
      <rPr>
        <sz val="9"/>
        <rFont val="Arial CE"/>
        <family val="2"/>
      </rPr>
      <t>JZ ZA ŠPORT</t>
    </r>
  </si>
  <si>
    <r>
      <t xml:space="preserve">Tekoči transferi - sred.za blago,stor. </t>
    </r>
    <r>
      <rPr>
        <sz val="9"/>
        <rFont val="Arial CE"/>
        <family val="2"/>
      </rPr>
      <t>JZ ZA ŠPORT</t>
    </r>
  </si>
  <si>
    <t>Dokument. za cestno infrastrukt. PRILOGA 3</t>
  </si>
  <si>
    <t>Sklad za razvoj malega gosp.-sredstva za delovanje</t>
  </si>
  <si>
    <t>Povečanje namenskega premoženja v JS</t>
  </si>
  <si>
    <t>Str. provizij in povračil (UJP, Banka Slovenije, banke)</t>
  </si>
  <si>
    <t xml:space="preserve">Nabava gasilske avto lestve z reševalno košaro </t>
  </si>
  <si>
    <t>Nakup gasil.vozila in popravilo lestve-PGD N.Gorica</t>
  </si>
  <si>
    <t>Praznovanje ob vstopu Slovenije v Evropsko unijo</t>
  </si>
  <si>
    <t>Kolektivno dodatno pokojninsko zavarovanje</t>
  </si>
  <si>
    <t>Tekoči transferi  - davki</t>
  </si>
  <si>
    <t>Tekoči transferi  - dodatno kolektivno zavarovanje</t>
  </si>
  <si>
    <t>Cenitve, natečaji, stroški postopkov, objave</t>
  </si>
  <si>
    <t>Tekoči transferi - davki</t>
  </si>
  <si>
    <t>Tekoči transferi - dodatno kolektivno zavarovanje</t>
  </si>
  <si>
    <t>Tekoči transferi - sredstva za plače in os.prejemke</t>
  </si>
  <si>
    <t>Transferi za prireditve in proslave v KS</t>
  </si>
  <si>
    <t xml:space="preserve">Obnova vrtca v Šempasu </t>
  </si>
  <si>
    <t xml:space="preserve">Investic. vzd. in izboljš.(GK,KD,ZKD,GM,galerija)  </t>
  </si>
  <si>
    <t>Sofinanciranje adaptacije Samostana Kostanjevica</t>
  </si>
  <si>
    <t xml:space="preserve">Kulturni dom  </t>
  </si>
  <si>
    <t>Dokumentacija in adaptacija Prim. tehnol. parka</t>
  </si>
  <si>
    <t>Subvencije stanarin po stan.zakonu - transfer SS</t>
  </si>
  <si>
    <t>05,25</t>
  </si>
  <si>
    <t>09,23</t>
  </si>
  <si>
    <t>Športna dvorana v Prvačini</t>
  </si>
  <si>
    <t xml:space="preserve">Odpravnine </t>
  </si>
  <si>
    <t xml:space="preserve"> - nakup in oprema bibliobusa  </t>
  </si>
  <si>
    <r>
      <t xml:space="preserve">Priprava razvojnih programov </t>
    </r>
    <r>
      <rPr>
        <sz val="8"/>
        <rFont val="Arial CE"/>
        <family val="2"/>
      </rPr>
      <t xml:space="preserve"> </t>
    </r>
  </si>
  <si>
    <t>Transferi javnim zavodom - otroško varstvo</t>
  </si>
  <si>
    <t>Transferi upravičencem do subvencije OV</t>
  </si>
  <si>
    <t>Izgradnja kajak centra</t>
  </si>
  <si>
    <t>Program športa PRILOGA 8</t>
  </si>
  <si>
    <t>05,26</t>
  </si>
  <si>
    <t>Posp.posl.sodel.med gosp.in kult.subj.z zamejstvom</t>
  </si>
  <si>
    <t xml:space="preserve">SNG(PDG) - investicija v nadoderne vlake </t>
  </si>
  <si>
    <t>REBALANS</t>
  </si>
  <si>
    <t>Vzdrževanje športnih površin  PRILOGA 9</t>
  </si>
  <si>
    <t>REAL./PLAN</t>
  </si>
  <si>
    <t>Sodna izvršba-poravnava za obvoznico Šempeter</t>
  </si>
  <si>
    <t>Goriški muzej - delavnice Solkan</t>
  </si>
  <si>
    <t>08,17</t>
  </si>
  <si>
    <t>Ureditev parka ob gradu Kromberk</t>
  </si>
  <si>
    <t>Pokrivanje izgube vrtca Nova Gorica za 2003</t>
  </si>
  <si>
    <t>Dodatno pokojninsko zavarovanje za 2003</t>
  </si>
  <si>
    <t>Poračun za vrtce 2003 (brez NG)</t>
  </si>
  <si>
    <t>Združenje častnikov Slovenije</t>
  </si>
  <si>
    <t>REAL./REBAL.</t>
  </si>
  <si>
    <r>
      <t xml:space="preserve">Lastna sredstva za koriščenje EU skladov    </t>
    </r>
    <r>
      <rPr>
        <sz val="8"/>
        <rFont val="Arial CE"/>
        <family val="2"/>
      </rPr>
      <t>PRILOGA 22</t>
    </r>
  </si>
  <si>
    <t>PLAN</t>
  </si>
</sst>
</file>

<file path=xl/styles.xml><?xml version="1.0" encoding="utf-8"?>
<styleSheet xmlns="http://schemas.openxmlformats.org/spreadsheetml/2006/main">
  <numFmts count="2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0"/>
    <numFmt numFmtId="165" formatCode="#,##0.0"/>
    <numFmt numFmtId="166" formatCode="#,##0.0000"/>
    <numFmt numFmtId="167" formatCode="#,##0_ ;\-#,##0\ "/>
    <numFmt numFmtId="168" formatCode="0.000"/>
    <numFmt numFmtId="169" formatCode="0.0"/>
    <numFmt numFmtId="170" formatCode="0.00000"/>
    <numFmt numFmtId="171" formatCode="0.0000"/>
    <numFmt numFmtId="172" formatCode="dd/mm/yyyy"/>
    <numFmt numFmtId="173" formatCode="0.000000"/>
    <numFmt numFmtId="174" formatCode="0.00000000"/>
    <numFmt numFmtId="175" formatCode="0.000000000"/>
    <numFmt numFmtId="176" formatCode="0.00000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3" fontId="0" fillId="0" borderId="4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right"/>
    </xf>
    <xf numFmtId="169" fontId="0" fillId="0" borderId="4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169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3" fontId="0" fillId="0" borderId="0" xfId="0" applyNumberFormat="1" applyFont="1" applyAlignment="1">
      <alignment/>
    </xf>
    <xf numFmtId="0" fontId="3" fillId="0" borderId="4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4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left"/>
      <protection/>
    </xf>
    <xf numFmtId="3" fontId="0" fillId="0" borderId="4" xfId="0" applyNumberFormat="1" applyFont="1" applyBorder="1" applyAlignment="1" applyProtection="1">
      <alignment horizontal="right"/>
      <protection/>
    </xf>
    <xf numFmtId="3" fontId="3" fillId="0" borderId="2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3" fillId="0" borderId="4" xfId="0" applyFont="1" applyBorder="1" applyAlignment="1" applyProtection="1">
      <alignment horizontal="left"/>
      <protection/>
    </xf>
    <xf numFmtId="3" fontId="3" fillId="0" borderId="4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3" fontId="0" fillId="0" borderId="4" xfId="0" applyNumberFormat="1" applyFont="1" applyFill="1" applyBorder="1" applyAlignment="1" applyProtection="1">
      <alignment horizontal="right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right"/>
      <protection/>
    </xf>
    <xf numFmtId="0" fontId="0" fillId="0" borderId="5" xfId="0" applyFont="1" applyBorder="1" applyAlignment="1" applyProtection="1">
      <alignment horizontal="center"/>
      <protection/>
    </xf>
    <xf numFmtId="0" fontId="3" fillId="0" borderId="5" xfId="0" applyFont="1" applyBorder="1" applyAlignment="1">
      <alignment horizontal="left"/>
    </xf>
    <xf numFmtId="0" fontId="0" fillId="0" borderId="5" xfId="0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3" fillId="0" borderId="1" xfId="0" applyFon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6" xfId="0" applyNumberFormat="1" applyFont="1" applyBorder="1" applyAlignment="1" applyProtection="1">
      <alignment horizontal="right"/>
      <protection/>
    </xf>
    <xf numFmtId="0" fontId="8" fillId="0" borderId="4" xfId="0" applyFont="1" applyBorder="1" applyAlignment="1" quotePrefix="1">
      <alignment horizontal="center"/>
    </xf>
    <xf numFmtId="0" fontId="9" fillId="0" borderId="4" xfId="0" applyFont="1" applyBorder="1" applyAlignment="1" applyProtection="1">
      <alignment horizontal="left"/>
      <protection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6" xfId="0" applyFont="1" applyBorder="1" applyAlignment="1" applyProtection="1">
      <alignment horizontal="left"/>
      <protection/>
    </xf>
    <xf numFmtId="3" fontId="0" fillId="0" borderId="6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right"/>
    </xf>
    <xf numFmtId="0" fontId="3" fillId="0" borderId="6" xfId="0" applyFont="1" applyBorder="1" applyAlignment="1" quotePrefix="1">
      <alignment horizontal="center"/>
    </xf>
    <xf numFmtId="0" fontId="3" fillId="0" borderId="6" xfId="0" applyFont="1" applyBorder="1" applyAlignment="1">
      <alignment horizontal="center"/>
    </xf>
    <xf numFmtId="37" fontId="0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3" fillId="0" borderId="4" xfId="0" applyNumberFormat="1" applyFont="1" applyBorder="1" applyAlignment="1" applyProtection="1">
      <alignment horizontal="center"/>
      <protection/>
    </xf>
    <xf numFmtId="0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right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 quotePrefix="1">
      <alignment horizontal="right"/>
    </xf>
    <xf numFmtId="3" fontId="0" fillId="0" borderId="6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3" fillId="0" borderId="9" xfId="0" applyFont="1" applyBorder="1" applyAlignment="1">
      <alignment horizontal="center"/>
    </xf>
    <xf numFmtId="3" fontId="6" fillId="0" borderId="6" xfId="0" applyNumberFormat="1" applyFont="1" applyBorder="1" applyAlignment="1" quotePrefix="1">
      <alignment horizontal="right"/>
    </xf>
    <xf numFmtId="0" fontId="6" fillId="0" borderId="4" xfId="0" applyFont="1" applyBorder="1" applyAlignment="1" quotePrefix="1">
      <alignment horizontal="right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/>
    </xf>
    <xf numFmtId="3" fontId="3" fillId="0" borderId="3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left"/>
    </xf>
    <xf numFmtId="37" fontId="3" fillId="0" borderId="0" xfId="0" applyNumberFormat="1" applyFont="1" applyBorder="1" applyAlignment="1">
      <alignment horizontal="right"/>
    </xf>
    <xf numFmtId="3" fontId="0" fillId="0" borderId="9" xfId="0" applyNumberFormat="1" applyFont="1" applyBorder="1" applyAlignment="1" applyProtection="1">
      <alignment horizontal="right"/>
      <protection/>
    </xf>
    <xf numFmtId="3" fontId="9" fillId="0" borderId="6" xfId="0" applyNumberFormat="1" applyFont="1" applyBorder="1" applyAlignment="1" applyProtection="1">
      <alignment horizontal="right"/>
      <protection/>
    </xf>
    <xf numFmtId="3" fontId="3" fillId="0" borderId="3" xfId="0" applyNumberFormat="1" applyFont="1" applyBorder="1" applyAlignment="1" applyProtection="1">
      <alignment horizontal="right"/>
      <protection/>
    </xf>
    <xf numFmtId="172" fontId="3" fillId="0" borderId="2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2" fontId="3" fillId="0" borderId="3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9" fontId="3" fillId="0" borderId="2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3" fillId="0" borderId="12" xfId="0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pane xSplit="2" ySplit="2" topLeftCell="C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3" sqref="C3"/>
    </sheetView>
  </sheetViews>
  <sheetFormatPr defaultColWidth="9.00390625" defaultRowHeight="15" customHeight="1"/>
  <cols>
    <col min="1" max="1" width="7.375" style="109" customWidth="1"/>
    <col min="2" max="2" width="37.75390625" style="23" customWidth="1"/>
    <col min="3" max="4" width="11.125" style="25" bestFit="1" customWidth="1"/>
    <col min="5" max="5" width="12.875" style="25" bestFit="1" customWidth="1"/>
    <col min="6" max="6" width="10.00390625" style="92" bestFit="1" customWidth="1"/>
    <col min="7" max="7" width="11.25390625" style="92" bestFit="1" customWidth="1"/>
    <col min="8" max="8" width="11.125" style="2" bestFit="1" customWidth="1"/>
    <col min="9" max="9" width="19.25390625" style="2" customWidth="1"/>
    <col min="10" max="16384" width="9.125" style="2" customWidth="1"/>
  </cols>
  <sheetData>
    <row r="1" spans="1:7" s="105" customFormat="1" ht="18" customHeight="1">
      <c r="A1" s="27" t="s">
        <v>29</v>
      </c>
      <c r="B1" s="28" t="s">
        <v>43</v>
      </c>
      <c r="C1" s="98" t="s">
        <v>357</v>
      </c>
      <c r="D1" s="98" t="s">
        <v>344</v>
      </c>
      <c r="E1" s="98" t="s">
        <v>248</v>
      </c>
      <c r="F1" s="1" t="s">
        <v>46</v>
      </c>
      <c r="G1" s="1" t="s">
        <v>46</v>
      </c>
    </row>
    <row r="2" spans="1:7" s="105" customFormat="1" ht="18" customHeight="1" thickBot="1">
      <c r="A2" s="29" t="s">
        <v>174</v>
      </c>
      <c r="B2" s="5"/>
      <c r="C2" s="6">
        <v>2004</v>
      </c>
      <c r="D2" s="6">
        <v>2004</v>
      </c>
      <c r="E2" s="115">
        <v>38168</v>
      </c>
      <c r="F2" s="7" t="s">
        <v>346</v>
      </c>
      <c r="G2" s="7" t="s">
        <v>355</v>
      </c>
    </row>
    <row r="3" spans="1:9" s="106" customFormat="1" ht="18" customHeight="1">
      <c r="A3" s="8" t="s">
        <v>45</v>
      </c>
      <c r="B3" s="14" t="s">
        <v>0</v>
      </c>
      <c r="C3" s="74">
        <v>378465869</v>
      </c>
      <c r="D3" s="74">
        <v>378465869</v>
      </c>
      <c r="E3" s="74">
        <v>176484145</v>
      </c>
      <c r="F3" s="17">
        <f>IF(C3=0,"-",$E3/C3*100)</f>
        <v>46.631455953033374</v>
      </c>
      <c r="G3" s="17">
        <f>IF(D3=0,"-",$E3/D3*100)</f>
        <v>46.631455953033374</v>
      </c>
      <c r="I3" s="107"/>
    </row>
    <row r="4" spans="1:7" s="106" customFormat="1" ht="18" customHeight="1">
      <c r="A4" s="8" t="s">
        <v>45</v>
      </c>
      <c r="B4" s="14" t="s">
        <v>1</v>
      </c>
      <c r="C4" s="74">
        <v>11936800</v>
      </c>
      <c r="D4" s="74">
        <v>11936800</v>
      </c>
      <c r="E4" s="74">
        <v>11659200</v>
      </c>
      <c r="F4" s="17">
        <f>IF(C4=0,"-",$E4/C4*100)</f>
        <v>97.67441860465115</v>
      </c>
      <c r="G4" s="17">
        <f>IF(D4=0,"-",$E4/D4*100)</f>
        <v>97.67441860465115</v>
      </c>
    </row>
    <row r="5" spans="1:8" s="106" customFormat="1" ht="18" customHeight="1">
      <c r="A5" s="8" t="s">
        <v>45</v>
      </c>
      <c r="B5" s="14" t="s">
        <v>2</v>
      </c>
      <c r="C5" s="74">
        <v>28219000</v>
      </c>
      <c r="D5" s="74">
        <v>28219000</v>
      </c>
      <c r="E5" s="74">
        <v>11617641</v>
      </c>
      <c r="F5" s="17">
        <f aca="true" t="shared" si="0" ref="F5:F26">IF(C5=0,"-",$E5/C5*100)</f>
        <v>41.169570147772774</v>
      </c>
      <c r="G5" s="17">
        <f aca="true" t="shared" si="1" ref="G5:G26">IF(D5=0,"-",$E5/D5*100)</f>
        <v>41.169570147772774</v>
      </c>
      <c r="H5" s="108"/>
    </row>
    <row r="6" spans="1:7" s="106" customFormat="1" ht="18" customHeight="1">
      <c r="A6" s="8" t="s">
        <v>45</v>
      </c>
      <c r="B6" s="14" t="s">
        <v>3</v>
      </c>
      <c r="C6" s="74">
        <v>14000000</v>
      </c>
      <c r="D6" s="74">
        <v>14000000</v>
      </c>
      <c r="E6" s="74">
        <v>6499645</v>
      </c>
      <c r="F6" s="17">
        <f t="shared" si="0"/>
        <v>46.42603571428571</v>
      </c>
      <c r="G6" s="17">
        <f t="shared" si="1"/>
        <v>46.42603571428571</v>
      </c>
    </row>
    <row r="7" spans="1:7" s="106" customFormat="1" ht="18" customHeight="1">
      <c r="A7" s="8" t="s">
        <v>45</v>
      </c>
      <c r="B7" s="14" t="s">
        <v>4</v>
      </c>
      <c r="C7" s="74">
        <v>2200000</v>
      </c>
      <c r="D7" s="74">
        <v>2200000</v>
      </c>
      <c r="E7" s="74">
        <v>137094</v>
      </c>
      <c r="F7" s="17">
        <f t="shared" si="0"/>
        <v>6.231545454545455</v>
      </c>
      <c r="G7" s="17">
        <f t="shared" si="1"/>
        <v>6.231545454545455</v>
      </c>
    </row>
    <row r="8" spans="1:8" s="106" customFormat="1" ht="18" customHeight="1">
      <c r="A8" s="8" t="s">
        <v>45</v>
      </c>
      <c r="B8" s="14" t="s">
        <v>5</v>
      </c>
      <c r="C8" s="74">
        <v>1904000</v>
      </c>
      <c r="D8" s="74">
        <v>1904000</v>
      </c>
      <c r="E8" s="74">
        <v>193739</v>
      </c>
      <c r="F8" s="17">
        <f t="shared" si="0"/>
        <v>10.175367647058824</v>
      </c>
      <c r="G8" s="17">
        <f t="shared" si="1"/>
        <v>10.175367647058824</v>
      </c>
      <c r="H8" s="108"/>
    </row>
    <row r="9" spans="1:8" s="106" customFormat="1" ht="18" customHeight="1">
      <c r="A9" s="8" t="s">
        <v>45</v>
      </c>
      <c r="B9" s="14" t="s">
        <v>250</v>
      </c>
      <c r="C9" s="74">
        <v>35000000</v>
      </c>
      <c r="D9" s="74">
        <v>35000000</v>
      </c>
      <c r="E9" s="74">
        <v>15535581</v>
      </c>
      <c r="F9" s="17">
        <f t="shared" si="0"/>
        <v>44.38737428571429</v>
      </c>
      <c r="G9" s="17">
        <f t="shared" si="1"/>
        <v>44.38737428571429</v>
      </c>
      <c r="H9" s="108"/>
    </row>
    <row r="10" spans="1:8" s="106" customFormat="1" ht="18" customHeight="1">
      <c r="A10" s="8" t="s">
        <v>45</v>
      </c>
      <c r="B10" s="14" t="s">
        <v>317</v>
      </c>
      <c r="C10" s="74">
        <v>7140000</v>
      </c>
      <c r="D10" s="74">
        <v>7140000</v>
      </c>
      <c r="E10" s="74">
        <v>3638310</v>
      </c>
      <c r="F10" s="17">
        <f t="shared" si="0"/>
        <v>50.956722689075626</v>
      </c>
      <c r="G10" s="17">
        <f t="shared" si="1"/>
        <v>50.956722689075626</v>
      </c>
      <c r="H10" s="108"/>
    </row>
    <row r="11" spans="1:7" s="106" customFormat="1" ht="18" customHeight="1">
      <c r="A11" s="8" t="s">
        <v>45</v>
      </c>
      <c r="B11" s="14" t="s">
        <v>195</v>
      </c>
      <c r="C11" s="74">
        <v>29200000</v>
      </c>
      <c r="D11" s="74">
        <v>29200000</v>
      </c>
      <c r="E11" s="74">
        <v>13699309</v>
      </c>
      <c r="F11" s="17">
        <f t="shared" si="0"/>
        <v>46.91544178082192</v>
      </c>
      <c r="G11" s="17">
        <f t="shared" si="1"/>
        <v>46.91544178082192</v>
      </c>
    </row>
    <row r="12" spans="1:7" s="106" customFormat="1" ht="18" customHeight="1">
      <c r="A12" s="8" t="s">
        <v>45</v>
      </c>
      <c r="B12" s="14" t="s">
        <v>196</v>
      </c>
      <c r="C12" s="74">
        <v>280000</v>
      </c>
      <c r="D12" s="74">
        <v>280000</v>
      </c>
      <c r="E12" s="74">
        <v>110044</v>
      </c>
      <c r="F12" s="17">
        <f t="shared" si="0"/>
        <v>39.30142857142857</v>
      </c>
      <c r="G12" s="17">
        <f t="shared" si="1"/>
        <v>39.30142857142857</v>
      </c>
    </row>
    <row r="13" spans="1:8" s="106" customFormat="1" ht="18" customHeight="1">
      <c r="A13" s="8" t="s">
        <v>45</v>
      </c>
      <c r="B13" s="14" t="s">
        <v>197</v>
      </c>
      <c r="C13" s="74">
        <v>400000</v>
      </c>
      <c r="D13" s="74">
        <v>400000</v>
      </c>
      <c r="E13" s="74">
        <v>183407</v>
      </c>
      <c r="F13" s="17">
        <f t="shared" si="0"/>
        <v>45.85175</v>
      </c>
      <c r="G13" s="17">
        <f t="shared" si="1"/>
        <v>45.85175</v>
      </c>
      <c r="H13" s="108"/>
    </row>
    <row r="14" spans="1:7" s="106" customFormat="1" ht="18" customHeight="1">
      <c r="A14" s="8" t="s">
        <v>55</v>
      </c>
      <c r="B14" s="14" t="s">
        <v>6</v>
      </c>
      <c r="C14" s="74">
        <v>67543017</v>
      </c>
      <c r="D14" s="74">
        <v>67543017</v>
      </c>
      <c r="E14" s="74">
        <v>33880902</v>
      </c>
      <c r="F14" s="17">
        <f t="shared" si="0"/>
        <v>50.16196122835318</v>
      </c>
      <c r="G14" s="17">
        <f t="shared" si="1"/>
        <v>50.16196122835318</v>
      </c>
    </row>
    <row r="15" spans="1:8" s="106" customFormat="1" ht="18" customHeight="1">
      <c r="A15" s="8" t="s">
        <v>44</v>
      </c>
      <c r="B15" s="14" t="s">
        <v>7</v>
      </c>
      <c r="C15" s="74">
        <v>3884701</v>
      </c>
      <c r="D15" s="74">
        <v>3884701</v>
      </c>
      <c r="E15" s="74">
        <v>2082372</v>
      </c>
      <c r="F15" s="17">
        <f t="shared" si="0"/>
        <v>53.60443442107899</v>
      </c>
      <c r="G15" s="17">
        <f t="shared" si="1"/>
        <v>53.60443442107899</v>
      </c>
      <c r="H15" s="108"/>
    </row>
    <row r="16" spans="1:7" s="106" customFormat="1" ht="18" customHeight="1">
      <c r="A16" s="8" t="s">
        <v>161</v>
      </c>
      <c r="B16" s="14" t="s">
        <v>251</v>
      </c>
      <c r="C16" s="74">
        <v>56018902</v>
      </c>
      <c r="D16" s="74">
        <v>56018902</v>
      </c>
      <c r="E16" s="74">
        <v>35292782</v>
      </c>
      <c r="F16" s="17">
        <f t="shared" si="0"/>
        <v>63.0015597235376</v>
      </c>
      <c r="G16" s="17">
        <f t="shared" si="1"/>
        <v>63.0015597235376</v>
      </c>
    </row>
    <row r="17" spans="1:7" s="106" customFormat="1" ht="18" customHeight="1">
      <c r="A17" s="8" t="s">
        <v>162</v>
      </c>
      <c r="B17" s="14" t="s">
        <v>8</v>
      </c>
      <c r="C17" s="74">
        <v>10945212</v>
      </c>
      <c r="D17" s="74">
        <v>10945212</v>
      </c>
      <c r="E17" s="74">
        <v>4639943</v>
      </c>
      <c r="F17" s="17">
        <f t="shared" si="0"/>
        <v>42.39244520800511</v>
      </c>
      <c r="G17" s="17">
        <f t="shared" si="1"/>
        <v>42.39244520800511</v>
      </c>
    </row>
    <row r="18" spans="1:7" s="106" customFormat="1" ht="18" customHeight="1">
      <c r="A18" s="8" t="s">
        <v>163</v>
      </c>
      <c r="B18" s="14" t="s">
        <v>9</v>
      </c>
      <c r="C18" s="74">
        <v>3151392</v>
      </c>
      <c r="D18" s="74">
        <v>3151392</v>
      </c>
      <c r="E18" s="74">
        <v>1789735</v>
      </c>
      <c r="F18" s="17">
        <f t="shared" si="0"/>
        <v>56.79188752145083</v>
      </c>
      <c r="G18" s="17">
        <f t="shared" si="1"/>
        <v>56.79188752145083</v>
      </c>
    </row>
    <row r="19" spans="1:7" s="106" customFormat="1" ht="18" customHeight="1">
      <c r="A19" s="8" t="s">
        <v>164</v>
      </c>
      <c r="B19" s="14" t="s">
        <v>10</v>
      </c>
      <c r="C19" s="74">
        <v>21662668</v>
      </c>
      <c r="D19" s="74">
        <v>21662668</v>
      </c>
      <c r="E19" s="74">
        <v>10533008</v>
      </c>
      <c r="F19" s="17">
        <f t="shared" si="0"/>
        <v>48.62285661212183</v>
      </c>
      <c r="G19" s="17">
        <f t="shared" si="1"/>
        <v>48.62285661212183</v>
      </c>
    </row>
    <row r="20" spans="1:7" s="106" customFormat="1" ht="18" customHeight="1">
      <c r="A20" s="8" t="s">
        <v>165</v>
      </c>
      <c r="B20" s="14" t="s">
        <v>11</v>
      </c>
      <c r="C20" s="74">
        <v>3466439</v>
      </c>
      <c r="D20" s="74">
        <v>3466439</v>
      </c>
      <c r="E20" s="74">
        <v>1542034</v>
      </c>
      <c r="F20" s="17">
        <f t="shared" si="0"/>
        <v>44.484671445249724</v>
      </c>
      <c r="G20" s="17">
        <f t="shared" si="1"/>
        <v>44.484671445249724</v>
      </c>
    </row>
    <row r="21" spans="1:7" s="106" customFormat="1" ht="18" customHeight="1">
      <c r="A21" s="8" t="s">
        <v>166</v>
      </c>
      <c r="B21" s="14" t="s">
        <v>12</v>
      </c>
      <c r="C21" s="74">
        <v>64850000</v>
      </c>
      <c r="D21" s="74">
        <v>64850000</v>
      </c>
      <c r="E21" s="74">
        <v>18211385</v>
      </c>
      <c r="F21" s="17">
        <f t="shared" si="0"/>
        <v>28.08232074016962</v>
      </c>
      <c r="G21" s="17">
        <f t="shared" si="1"/>
        <v>28.08232074016962</v>
      </c>
    </row>
    <row r="22" spans="1:7" s="106" customFormat="1" ht="18" customHeight="1">
      <c r="A22" s="8" t="s">
        <v>167</v>
      </c>
      <c r="B22" s="14" t="s">
        <v>13</v>
      </c>
      <c r="C22" s="74">
        <v>12300000</v>
      </c>
      <c r="D22" s="74">
        <v>12300000</v>
      </c>
      <c r="E22" s="74">
        <v>5481773</v>
      </c>
      <c r="F22" s="17">
        <f t="shared" si="0"/>
        <v>44.56726016260163</v>
      </c>
      <c r="G22" s="17">
        <f t="shared" si="1"/>
        <v>44.56726016260163</v>
      </c>
    </row>
    <row r="23" spans="1:7" s="106" customFormat="1" ht="18" customHeight="1">
      <c r="A23" s="8" t="s">
        <v>168</v>
      </c>
      <c r="B23" s="14" t="s">
        <v>14</v>
      </c>
      <c r="C23" s="74">
        <v>9500000</v>
      </c>
      <c r="D23" s="74">
        <v>9500000</v>
      </c>
      <c r="E23" s="74">
        <v>730586</v>
      </c>
      <c r="F23" s="17">
        <f t="shared" si="0"/>
        <v>7.690378947368422</v>
      </c>
      <c r="G23" s="17">
        <f t="shared" si="1"/>
        <v>7.690378947368422</v>
      </c>
    </row>
    <row r="24" spans="1:7" s="106" customFormat="1" ht="18" customHeight="1">
      <c r="A24" s="8" t="s">
        <v>243</v>
      </c>
      <c r="B24" s="14" t="s">
        <v>277</v>
      </c>
      <c r="C24" s="74">
        <v>300000</v>
      </c>
      <c r="D24" s="74">
        <v>300000</v>
      </c>
      <c r="E24" s="74">
        <v>86520</v>
      </c>
      <c r="F24" s="17">
        <f t="shared" si="0"/>
        <v>28.84</v>
      </c>
      <c r="G24" s="17">
        <f t="shared" si="1"/>
        <v>28.84</v>
      </c>
    </row>
    <row r="25" spans="1:7" s="106" customFormat="1" ht="18" customHeight="1">
      <c r="A25" s="8"/>
      <c r="B25" s="14"/>
      <c r="C25" s="74"/>
      <c r="D25" s="74"/>
      <c r="E25" s="74"/>
      <c r="F25" s="17" t="str">
        <f t="shared" si="0"/>
        <v>-</v>
      </c>
      <c r="G25" s="17" t="str">
        <f t="shared" si="1"/>
        <v>-</v>
      </c>
    </row>
    <row r="26" spans="1:7" s="105" customFormat="1" ht="18" customHeight="1" thickBot="1">
      <c r="A26" s="4"/>
      <c r="B26" s="34" t="s">
        <v>190</v>
      </c>
      <c r="C26" s="35">
        <f>SUM(C3:C25)</f>
        <v>762368000</v>
      </c>
      <c r="D26" s="35">
        <f>SUM(D3:D25)</f>
        <v>762368000</v>
      </c>
      <c r="E26" s="35">
        <f>SUM(E3:E25)</f>
        <v>354029155</v>
      </c>
      <c r="F26" s="36">
        <f t="shared" si="0"/>
        <v>46.43809223367193</v>
      </c>
      <c r="G26" s="36">
        <f t="shared" si="1"/>
        <v>46.43809223367193</v>
      </c>
    </row>
    <row r="27" spans="3:5" ht="18" customHeight="1">
      <c r="C27" s="24"/>
      <c r="D27" s="24"/>
      <c r="E27" s="24"/>
    </row>
    <row r="28" spans="2:5" ht="15" customHeight="1">
      <c r="B28" s="110"/>
      <c r="C28" s="24"/>
      <c r="D28" s="24"/>
      <c r="E28" s="24"/>
    </row>
    <row r="30" spans="3:5" ht="15" customHeight="1">
      <c r="C30" s="24"/>
      <c r="D30" s="24"/>
      <c r="E30" s="24"/>
    </row>
  </sheetData>
  <printOptions/>
  <pageMargins left="0.34" right="0.17" top="1.17" bottom="0.89" header="0.38" footer="0.5511811023622047"/>
  <pageSetup firstPageNumber="12" useFirstPageNumber="1" horizontalDpi="360" verticalDpi="360" orientation="portrait" paperSize="9" scale="95" r:id="rId1"/>
  <headerFooter alignWithMargins="0">
    <oddHeader>&amp;L&amp;"Arial CE,Krepko"&amp;11PREGLED NALOG ZA PODROČJE:
&amp;C&amp;11
&amp;"Arial CE,Krepko"&amp;14&amp;A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00390625" defaultRowHeight="18" customHeight="1"/>
  <cols>
    <col min="1" max="1" width="7.25390625" style="21" customWidth="1"/>
    <col min="2" max="2" width="40.625" style="23" customWidth="1"/>
    <col min="3" max="4" width="11.125" style="25" bestFit="1" customWidth="1"/>
    <col min="5" max="5" width="12.875" style="25" bestFit="1" customWidth="1"/>
    <col min="6" max="6" width="10.00390625" style="25" bestFit="1" customWidth="1"/>
    <col min="7" max="7" width="10.75390625" style="25" customWidth="1"/>
    <col min="8" max="16384" width="11.00390625" style="22" customWidth="1"/>
  </cols>
  <sheetData>
    <row r="1" spans="1:7" s="44" customFormat="1" ht="18" customHeight="1">
      <c r="A1" s="27" t="s">
        <v>29</v>
      </c>
      <c r="B1" s="28" t="s">
        <v>43</v>
      </c>
      <c r="C1" s="1" t="s">
        <v>357</v>
      </c>
      <c r="D1" s="1" t="s">
        <v>344</v>
      </c>
      <c r="E1" s="98" t="s">
        <v>248</v>
      </c>
      <c r="F1" s="1" t="s">
        <v>46</v>
      </c>
      <c r="G1" s="1" t="s">
        <v>46</v>
      </c>
    </row>
    <row r="2" spans="1:7" s="44" customFormat="1" ht="18" customHeight="1" thickBot="1">
      <c r="A2" s="29" t="s">
        <v>174</v>
      </c>
      <c r="B2" s="30"/>
      <c r="C2" s="33">
        <v>2004</v>
      </c>
      <c r="D2" s="33">
        <v>2004</v>
      </c>
      <c r="E2" s="116">
        <v>38168</v>
      </c>
      <c r="F2" s="7" t="s">
        <v>346</v>
      </c>
      <c r="G2" s="7" t="s">
        <v>355</v>
      </c>
    </row>
    <row r="3" spans="1:7" ht="18" customHeight="1">
      <c r="A3" s="39">
        <v>10.01</v>
      </c>
      <c r="B3" s="40" t="s">
        <v>30</v>
      </c>
      <c r="C3" s="41">
        <v>1366000</v>
      </c>
      <c r="D3" s="41">
        <v>1366000</v>
      </c>
      <c r="E3" s="41">
        <v>543236</v>
      </c>
      <c r="F3" s="17">
        <f>IF(C3=0,"-",$E3/C3*100)</f>
        <v>39.76837481698389</v>
      </c>
      <c r="G3" s="17">
        <f>IF(D3=0,"-",$E3/D3*100)</f>
        <v>39.76837481698389</v>
      </c>
    </row>
    <row r="4" spans="1:7" ht="18" customHeight="1">
      <c r="A4" s="11">
        <v>10.02</v>
      </c>
      <c r="B4" s="40" t="s">
        <v>184</v>
      </c>
      <c r="C4" s="41">
        <v>7500000</v>
      </c>
      <c r="D4" s="41">
        <v>7500000</v>
      </c>
      <c r="E4" s="41">
        <v>4259111</v>
      </c>
      <c r="F4" s="17">
        <f>IF(C4=0,"-",$E4/C4*100)</f>
        <v>56.78814666666666</v>
      </c>
      <c r="G4" s="17">
        <f>IF(D4=0,"-",$E4/D4*100)</f>
        <v>56.78814666666666</v>
      </c>
    </row>
    <row r="5" spans="1:7" ht="18" customHeight="1">
      <c r="A5" s="11">
        <v>10.03</v>
      </c>
      <c r="B5" s="40" t="s">
        <v>34</v>
      </c>
      <c r="C5" s="41">
        <v>1900000</v>
      </c>
      <c r="D5" s="41">
        <v>1900000</v>
      </c>
      <c r="E5" s="41">
        <v>838892</v>
      </c>
      <c r="F5" s="17">
        <f aca="true" t="shared" si="0" ref="F5:F18">IF(C5=0,"-",$E5/C5*100)</f>
        <v>44.15221052631579</v>
      </c>
      <c r="G5" s="17">
        <f aca="true" t="shared" si="1" ref="G5:G18">IF(D5=0,"-",$E5/D5*100)</f>
        <v>44.15221052631579</v>
      </c>
    </row>
    <row r="6" spans="1:7" ht="18" customHeight="1">
      <c r="A6" s="11">
        <v>10.04</v>
      </c>
      <c r="B6" s="40" t="s">
        <v>185</v>
      </c>
      <c r="C6" s="41">
        <v>68000000</v>
      </c>
      <c r="D6" s="41">
        <v>68000000</v>
      </c>
      <c r="E6" s="41">
        <v>29663439</v>
      </c>
      <c r="F6" s="17">
        <f t="shared" si="0"/>
        <v>43.62270441176471</v>
      </c>
      <c r="G6" s="17">
        <f t="shared" si="1"/>
        <v>43.62270441176471</v>
      </c>
    </row>
    <row r="7" spans="1:7" ht="18" customHeight="1">
      <c r="A7" s="11">
        <v>10.05</v>
      </c>
      <c r="B7" s="40" t="s">
        <v>35</v>
      </c>
      <c r="C7" s="41">
        <f>14300000</f>
        <v>14300000</v>
      </c>
      <c r="D7" s="41">
        <f>14300000</f>
        <v>14300000</v>
      </c>
      <c r="E7" s="41">
        <v>7887000</v>
      </c>
      <c r="F7" s="17">
        <f t="shared" si="0"/>
        <v>55.15384615384615</v>
      </c>
      <c r="G7" s="17">
        <f t="shared" si="1"/>
        <v>55.15384615384615</v>
      </c>
    </row>
    <row r="8" spans="1:7" ht="18" customHeight="1">
      <c r="A8" s="11">
        <v>10.06</v>
      </c>
      <c r="B8" s="40" t="s">
        <v>36</v>
      </c>
      <c r="C8" s="41">
        <v>10000000</v>
      </c>
      <c r="D8" s="41">
        <v>10000000</v>
      </c>
      <c r="E8" s="41">
        <v>3619735</v>
      </c>
      <c r="F8" s="17">
        <f t="shared" si="0"/>
        <v>36.19735</v>
      </c>
      <c r="G8" s="17">
        <f t="shared" si="1"/>
        <v>36.19735</v>
      </c>
    </row>
    <row r="9" spans="1:8" ht="18" customHeight="1">
      <c r="A9" s="11"/>
      <c r="B9" s="45" t="s">
        <v>273</v>
      </c>
      <c r="C9" s="46">
        <f>SUM(C10:C12)</f>
        <v>14920000</v>
      </c>
      <c r="D9" s="46">
        <f>SUM(D10:D12)</f>
        <v>7468000</v>
      </c>
      <c r="E9" s="46">
        <f>SUM(E10:E12)</f>
        <v>7674234</v>
      </c>
      <c r="F9" s="13">
        <f t="shared" si="0"/>
        <v>51.435884718498656</v>
      </c>
      <c r="G9" s="13">
        <f t="shared" si="1"/>
        <v>102.76156936261383</v>
      </c>
      <c r="H9" s="31">
        <f>+E9+E13</f>
        <v>27526137</v>
      </c>
    </row>
    <row r="10" spans="1:7" ht="18" customHeight="1">
      <c r="A10" s="11">
        <v>10.07</v>
      </c>
      <c r="B10" s="40" t="s">
        <v>221</v>
      </c>
      <c r="C10" s="41">
        <v>8326000</v>
      </c>
      <c r="D10" s="41">
        <f>8326000/2</f>
        <v>4163000</v>
      </c>
      <c r="E10" s="41">
        <v>4141553</v>
      </c>
      <c r="F10" s="17">
        <f t="shared" si="0"/>
        <v>49.74240932020178</v>
      </c>
      <c r="G10" s="17">
        <f t="shared" si="1"/>
        <v>99.48481864040356</v>
      </c>
    </row>
    <row r="11" spans="1:8" ht="18" customHeight="1">
      <c r="A11" s="11">
        <v>10.07</v>
      </c>
      <c r="B11" s="40" t="s">
        <v>222</v>
      </c>
      <c r="C11" s="41">
        <v>1554000</v>
      </c>
      <c r="D11" s="41">
        <f>1554000/2</f>
        <v>777000</v>
      </c>
      <c r="E11" s="41">
        <v>617334</v>
      </c>
      <c r="F11" s="17">
        <f t="shared" si="0"/>
        <v>39.72548262548263</v>
      </c>
      <c r="G11" s="17">
        <f t="shared" si="1"/>
        <v>79.45096525096525</v>
      </c>
      <c r="H11" s="31"/>
    </row>
    <row r="12" spans="1:7" ht="18" customHeight="1">
      <c r="A12" s="11">
        <v>10.07</v>
      </c>
      <c r="B12" s="40" t="s">
        <v>223</v>
      </c>
      <c r="C12" s="41">
        <v>5040000</v>
      </c>
      <c r="D12" s="41">
        <f>5040000/2+8000</f>
        <v>2528000</v>
      </c>
      <c r="E12" s="41">
        <v>2915347</v>
      </c>
      <c r="F12" s="17">
        <f t="shared" si="0"/>
        <v>57.84418650793651</v>
      </c>
      <c r="G12" s="17">
        <f t="shared" si="1"/>
        <v>115.32227056962026</v>
      </c>
    </row>
    <row r="13" spans="1:7" s="47" customFormat="1" ht="18" customHeight="1">
      <c r="A13" s="11"/>
      <c r="B13" s="45" t="s">
        <v>157</v>
      </c>
      <c r="C13" s="46">
        <f>SUM(C14:C16)</f>
        <v>38177000</v>
      </c>
      <c r="D13" s="46">
        <f>SUM(D14:D16)</f>
        <v>39954000</v>
      </c>
      <c r="E13" s="46">
        <f>SUM(E14:E16)</f>
        <v>19851903</v>
      </c>
      <c r="F13" s="13">
        <f t="shared" si="0"/>
        <v>51.99964114519213</v>
      </c>
      <c r="G13" s="13">
        <f t="shared" si="1"/>
        <v>49.686897432046855</v>
      </c>
    </row>
    <row r="14" spans="1:7" ht="18" customHeight="1">
      <c r="A14" s="11">
        <v>10.07</v>
      </c>
      <c r="B14" s="40" t="s">
        <v>224</v>
      </c>
      <c r="C14" s="41">
        <v>26124000</v>
      </c>
      <c r="D14" s="41">
        <f>26124000+1300000</f>
        <v>27424000</v>
      </c>
      <c r="E14" s="41">
        <v>12518625</v>
      </c>
      <c r="F14" s="17">
        <f t="shared" si="0"/>
        <v>47.920016077170416</v>
      </c>
      <c r="G14" s="17">
        <f t="shared" si="1"/>
        <v>45.64842838389732</v>
      </c>
    </row>
    <row r="15" spans="1:7" ht="18" customHeight="1">
      <c r="A15" s="11">
        <v>10.07</v>
      </c>
      <c r="B15" s="40" t="s">
        <v>225</v>
      </c>
      <c r="C15" s="41">
        <v>4821000</v>
      </c>
      <c r="D15" s="41">
        <f>4821000+200000</f>
        <v>5021000</v>
      </c>
      <c r="E15" s="41">
        <v>1751592</v>
      </c>
      <c r="F15" s="17">
        <f t="shared" si="0"/>
        <v>36.33254511512135</v>
      </c>
      <c r="G15" s="17">
        <f t="shared" si="1"/>
        <v>34.885321649073894</v>
      </c>
    </row>
    <row r="16" spans="1:8" ht="18" customHeight="1">
      <c r="A16" s="11">
        <v>10.07</v>
      </c>
      <c r="B16" s="40" t="s">
        <v>226</v>
      </c>
      <c r="C16" s="48">
        <v>7232000</v>
      </c>
      <c r="D16" s="48">
        <f>7232000+277000</f>
        <v>7509000</v>
      </c>
      <c r="E16" s="48">
        <v>5581686</v>
      </c>
      <c r="F16" s="17">
        <f t="shared" si="0"/>
        <v>77.18039269911505</v>
      </c>
      <c r="G16" s="17">
        <f t="shared" si="1"/>
        <v>74.3332800639233</v>
      </c>
      <c r="H16" s="31"/>
    </row>
    <row r="17" spans="1:7" ht="18" customHeight="1">
      <c r="A17" s="49" t="s">
        <v>239</v>
      </c>
      <c r="B17" s="40" t="s">
        <v>240</v>
      </c>
      <c r="C17" s="41">
        <v>2100000</v>
      </c>
      <c r="D17" s="41">
        <v>2100000</v>
      </c>
      <c r="E17" s="41">
        <v>1050000</v>
      </c>
      <c r="F17" s="17">
        <f t="shared" si="0"/>
        <v>50</v>
      </c>
      <c r="G17" s="17">
        <f t="shared" si="1"/>
        <v>50</v>
      </c>
    </row>
    <row r="18" spans="1:7" ht="18" customHeight="1" thickBot="1">
      <c r="A18" s="33"/>
      <c r="B18" s="34" t="s">
        <v>190</v>
      </c>
      <c r="C18" s="42">
        <f>SUM(C3:C17)-C13-C9</f>
        <v>158263000</v>
      </c>
      <c r="D18" s="42">
        <f>SUM(D3:D17)-D13-D9</f>
        <v>152588000</v>
      </c>
      <c r="E18" s="42">
        <f>SUM(E3:E17)-E13-E9</f>
        <v>75387550</v>
      </c>
      <c r="F18" s="36">
        <f t="shared" si="0"/>
        <v>47.63434915299217</v>
      </c>
      <c r="G18" s="36">
        <f t="shared" si="1"/>
        <v>49.4059493538155</v>
      </c>
    </row>
    <row r="19" ht="18" customHeight="1">
      <c r="A19" s="43" t="s">
        <v>24</v>
      </c>
    </row>
    <row r="20" spans="3:5" ht="18" customHeight="1">
      <c r="C20" s="24"/>
      <c r="D20" s="24"/>
      <c r="E20" s="24"/>
    </row>
  </sheetData>
  <printOptions/>
  <pageMargins left="0.38" right="0.17" top="1.17" bottom="0.89" header="0.41" footer="0.5511811023622047"/>
  <pageSetup firstPageNumber="21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00390625" defaultRowHeight="18" customHeight="1"/>
  <cols>
    <col min="1" max="1" width="7.375" style="21" customWidth="1"/>
    <col min="2" max="2" width="43.25390625" style="23" customWidth="1"/>
    <col min="3" max="3" width="11.125" style="25" bestFit="1" customWidth="1"/>
    <col min="4" max="4" width="11.00390625" style="25" bestFit="1" customWidth="1"/>
    <col min="5" max="5" width="12.875" style="25" bestFit="1" customWidth="1"/>
    <col min="6" max="6" width="10.00390625" style="25" bestFit="1" customWidth="1"/>
    <col min="7" max="7" width="10.75390625" style="25" customWidth="1"/>
    <col min="8" max="16384" width="11.00390625" style="22" customWidth="1"/>
  </cols>
  <sheetData>
    <row r="1" spans="1:7" s="44" customFormat="1" ht="18.75" customHeight="1">
      <c r="A1" s="27" t="s">
        <v>29</v>
      </c>
      <c r="B1" s="28" t="s">
        <v>43</v>
      </c>
      <c r="C1" s="1" t="s">
        <v>357</v>
      </c>
      <c r="D1" s="1" t="s">
        <v>344</v>
      </c>
      <c r="E1" s="98" t="s">
        <v>248</v>
      </c>
      <c r="F1" s="1" t="s">
        <v>46</v>
      </c>
      <c r="G1" s="1" t="s">
        <v>46</v>
      </c>
    </row>
    <row r="2" spans="1:7" s="44" customFormat="1" ht="18" customHeight="1" thickBot="1">
      <c r="A2" s="29" t="s">
        <v>174</v>
      </c>
      <c r="B2" s="30"/>
      <c r="C2" s="33">
        <v>2004</v>
      </c>
      <c r="D2" s="33">
        <v>2004</v>
      </c>
      <c r="E2" s="116">
        <v>38168</v>
      </c>
      <c r="F2" s="7" t="s">
        <v>346</v>
      </c>
      <c r="G2" s="7" t="s">
        <v>355</v>
      </c>
    </row>
    <row r="3" spans="1:7" ht="18" customHeight="1">
      <c r="A3" s="11">
        <v>11.01</v>
      </c>
      <c r="B3" s="40" t="s">
        <v>227</v>
      </c>
      <c r="C3" s="41">
        <v>48276000</v>
      </c>
      <c r="D3" s="41">
        <v>48276000</v>
      </c>
      <c r="E3" s="41">
        <v>25157320</v>
      </c>
      <c r="F3" s="17">
        <f aca="true" t="shared" si="0" ref="F3:G8">IF(C3=0,"-",$E3/C3*100)</f>
        <v>52.11144253873561</v>
      </c>
      <c r="G3" s="17">
        <f t="shared" si="0"/>
        <v>52.11144253873561</v>
      </c>
    </row>
    <row r="4" spans="1:7" ht="18" customHeight="1">
      <c r="A4" s="11">
        <v>11.02</v>
      </c>
      <c r="B4" s="40" t="s">
        <v>40</v>
      </c>
      <c r="C4" s="41">
        <v>570000</v>
      </c>
      <c r="D4" s="41">
        <v>570000</v>
      </c>
      <c r="E4" s="41"/>
      <c r="F4" s="17">
        <f t="shared" si="0"/>
        <v>0</v>
      </c>
      <c r="G4" s="17">
        <f t="shared" si="0"/>
        <v>0</v>
      </c>
    </row>
    <row r="5" spans="1:7" ht="18" customHeight="1">
      <c r="A5" s="11">
        <v>11.03</v>
      </c>
      <c r="B5" s="40" t="s">
        <v>264</v>
      </c>
      <c r="C5" s="41">
        <v>50000000</v>
      </c>
      <c r="D5" s="41">
        <f>50000000-4000000</f>
        <v>46000000</v>
      </c>
      <c r="E5" s="41"/>
      <c r="F5" s="17">
        <f t="shared" si="0"/>
        <v>0</v>
      </c>
      <c r="G5" s="17">
        <f t="shared" si="0"/>
        <v>0</v>
      </c>
    </row>
    <row r="6" spans="1:7" ht="18" customHeight="1">
      <c r="A6" s="11">
        <v>11.04</v>
      </c>
      <c r="B6" s="40" t="s">
        <v>228</v>
      </c>
      <c r="C6" s="41">
        <v>3100000</v>
      </c>
      <c r="D6" s="41">
        <v>3100000</v>
      </c>
      <c r="E6" s="41">
        <v>681201</v>
      </c>
      <c r="F6" s="17">
        <f t="shared" si="0"/>
        <v>21.974225806451614</v>
      </c>
      <c r="G6" s="17">
        <f t="shared" si="0"/>
        <v>21.974225806451614</v>
      </c>
    </row>
    <row r="7" spans="1:7" ht="18" customHeight="1">
      <c r="A7" s="11">
        <v>11.05</v>
      </c>
      <c r="B7" s="40" t="s">
        <v>155</v>
      </c>
      <c r="C7" s="41">
        <v>1480000</v>
      </c>
      <c r="D7" s="41">
        <v>1480000</v>
      </c>
      <c r="E7" s="41"/>
      <c r="F7" s="17">
        <f t="shared" si="0"/>
        <v>0</v>
      </c>
      <c r="G7" s="17">
        <f t="shared" si="0"/>
        <v>0</v>
      </c>
    </row>
    <row r="8" spans="1:7" ht="18" customHeight="1" thickBot="1">
      <c r="A8" s="3"/>
      <c r="B8" s="34" t="s">
        <v>190</v>
      </c>
      <c r="C8" s="42">
        <f>SUM(C3:C7)</f>
        <v>103426000</v>
      </c>
      <c r="D8" s="42">
        <f>SUM(D3:D7)</f>
        <v>99426000</v>
      </c>
      <c r="E8" s="42">
        <f>SUM(E3:E7)</f>
        <v>25838521</v>
      </c>
      <c r="F8" s="36">
        <f t="shared" si="0"/>
        <v>24.982616556765226</v>
      </c>
      <c r="G8" s="36">
        <f t="shared" si="0"/>
        <v>25.98769034256633</v>
      </c>
    </row>
    <row r="9" ht="18" customHeight="1">
      <c r="A9" s="43" t="s">
        <v>24</v>
      </c>
    </row>
    <row r="10" spans="3:5" ht="18" customHeight="1">
      <c r="C10" s="24"/>
      <c r="D10" s="24"/>
      <c r="E10" s="24"/>
    </row>
  </sheetData>
  <printOptions/>
  <pageMargins left="0.41" right="0.17" top="1.17" bottom="0.89" header="0.41" footer="0.5511811023622047"/>
  <pageSetup firstPageNumber="22" useFirstPageNumber="1" horizontalDpi="360" verticalDpi="360" orientation="portrait" paperSize="9" scale="93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00390625" defaultRowHeight="18" customHeight="1"/>
  <cols>
    <col min="1" max="1" width="7.25390625" style="21" customWidth="1"/>
    <col min="2" max="2" width="42.625" style="23" customWidth="1"/>
    <col min="3" max="3" width="10.125" style="25" bestFit="1" customWidth="1"/>
    <col min="4" max="4" width="11.00390625" style="25" bestFit="1" customWidth="1"/>
    <col min="5" max="5" width="12.875" style="25" bestFit="1" customWidth="1"/>
    <col min="6" max="6" width="10.00390625" style="25" bestFit="1" customWidth="1"/>
    <col min="7" max="7" width="10.75390625" style="25" customWidth="1"/>
    <col min="8" max="16384" width="11.00390625" style="22" customWidth="1"/>
  </cols>
  <sheetData>
    <row r="1" spans="1:7" s="38" customFormat="1" ht="18" customHeight="1">
      <c r="A1" s="27" t="s">
        <v>29</v>
      </c>
      <c r="B1" s="28" t="s">
        <v>43</v>
      </c>
      <c r="C1" s="1" t="s">
        <v>357</v>
      </c>
      <c r="D1" s="1" t="s">
        <v>344</v>
      </c>
      <c r="E1" s="98" t="s">
        <v>248</v>
      </c>
      <c r="F1" s="1" t="s">
        <v>46</v>
      </c>
      <c r="G1" s="1" t="s">
        <v>46</v>
      </c>
    </row>
    <row r="2" spans="1:7" s="38" customFormat="1" ht="18" customHeight="1" thickBot="1">
      <c r="A2" s="29" t="s">
        <v>174</v>
      </c>
      <c r="B2" s="30"/>
      <c r="C2" s="33">
        <v>2004</v>
      </c>
      <c r="D2" s="33">
        <v>2004</v>
      </c>
      <c r="E2" s="116">
        <v>38168</v>
      </c>
      <c r="F2" s="7" t="s">
        <v>346</v>
      </c>
      <c r="G2" s="7" t="s">
        <v>355</v>
      </c>
    </row>
    <row r="3" spans="1:7" ht="18" customHeight="1">
      <c r="A3" s="39">
        <v>12.01</v>
      </c>
      <c r="B3" s="40" t="s">
        <v>229</v>
      </c>
      <c r="C3" s="41">
        <v>2200000</v>
      </c>
      <c r="D3" s="41">
        <v>2200000</v>
      </c>
      <c r="E3" s="41">
        <v>625028</v>
      </c>
      <c r="F3" s="17">
        <f aca="true" t="shared" si="0" ref="F3:G9">IF(C3=0,"-",$E3/C3*100)</f>
        <v>28.410363636363634</v>
      </c>
      <c r="G3" s="17">
        <f t="shared" si="0"/>
        <v>28.410363636363634</v>
      </c>
    </row>
    <row r="4" spans="1:7" ht="18" customHeight="1">
      <c r="A4" s="11">
        <v>12.02</v>
      </c>
      <c r="B4" s="40" t="s">
        <v>296</v>
      </c>
      <c r="C4" s="41">
        <v>15000000</v>
      </c>
      <c r="D4" s="41">
        <v>15000000</v>
      </c>
      <c r="E4" s="41">
        <v>2563361</v>
      </c>
      <c r="F4" s="17">
        <f t="shared" si="0"/>
        <v>17.08907333333333</v>
      </c>
      <c r="G4" s="17">
        <f t="shared" si="0"/>
        <v>17.08907333333333</v>
      </c>
    </row>
    <row r="5" spans="1:7" ht="18" customHeight="1">
      <c r="A5" s="11">
        <v>12.03</v>
      </c>
      <c r="B5" s="40" t="s">
        <v>230</v>
      </c>
      <c r="C5" s="41">
        <v>14000000</v>
      </c>
      <c r="D5" s="41">
        <f>14000000+3000000</f>
        <v>17000000</v>
      </c>
      <c r="E5" s="41">
        <v>6161106</v>
      </c>
      <c r="F5" s="17">
        <f t="shared" si="0"/>
        <v>44.0079</v>
      </c>
      <c r="G5" s="17">
        <f t="shared" si="0"/>
        <v>36.241800000000005</v>
      </c>
    </row>
    <row r="6" spans="1:8" ht="18" customHeight="1">
      <c r="A6" s="11">
        <v>12.05</v>
      </c>
      <c r="B6" s="14" t="s">
        <v>231</v>
      </c>
      <c r="C6" s="41">
        <v>1000000</v>
      </c>
      <c r="D6" s="41">
        <v>1000000</v>
      </c>
      <c r="E6" s="41">
        <v>57538</v>
      </c>
      <c r="F6" s="17">
        <f t="shared" si="0"/>
        <v>5.7538</v>
      </c>
      <c r="G6" s="17">
        <f t="shared" si="0"/>
        <v>5.7538</v>
      </c>
      <c r="H6" s="31">
        <f>SUM(E6:E7)</f>
        <v>57538</v>
      </c>
    </row>
    <row r="7" spans="1:7" ht="18" customHeight="1">
      <c r="A7" s="11">
        <v>12.05</v>
      </c>
      <c r="B7" s="14" t="s">
        <v>274</v>
      </c>
      <c r="C7" s="41">
        <v>2000000</v>
      </c>
      <c r="D7" s="41">
        <v>2000000</v>
      </c>
      <c r="E7" s="41"/>
      <c r="F7" s="17">
        <f t="shared" si="0"/>
        <v>0</v>
      </c>
      <c r="G7" s="17">
        <f t="shared" si="0"/>
        <v>0</v>
      </c>
    </row>
    <row r="8" spans="1:7" ht="18" customHeight="1">
      <c r="A8" s="32" t="s">
        <v>293</v>
      </c>
      <c r="B8" s="14" t="s">
        <v>275</v>
      </c>
      <c r="C8" s="41">
        <v>4000000</v>
      </c>
      <c r="D8" s="41">
        <v>4000000</v>
      </c>
      <c r="E8" s="41">
        <v>1620600</v>
      </c>
      <c r="F8" s="17">
        <f t="shared" si="0"/>
        <v>40.515</v>
      </c>
      <c r="G8" s="17">
        <f t="shared" si="0"/>
        <v>40.515</v>
      </c>
    </row>
    <row r="9" spans="1:7" ht="18" customHeight="1" thickBot="1">
      <c r="A9" s="3"/>
      <c r="B9" s="34" t="s">
        <v>190</v>
      </c>
      <c r="C9" s="42">
        <f>SUM(C3:C8)</f>
        <v>38200000</v>
      </c>
      <c r="D9" s="42">
        <f>SUM(D3:D8)</f>
        <v>41200000</v>
      </c>
      <c r="E9" s="42">
        <f>SUM(E3:E8)</f>
        <v>11027633</v>
      </c>
      <c r="F9" s="36">
        <f t="shared" si="0"/>
        <v>28.868149214659688</v>
      </c>
      <c r="G9" s="36">
        <f t="shared" si="0"/>
        <v>26.76609951456311</v>
      </c>
    </row>
    <row r="10" ht="18" customHeight="1">
      <c r="A10" s="43" t="s">
        <v>24</v>
      </c>
    </row>
    <row r="11" spans="3:5" ht="18" customHeight="1">
      <c r="C11" s="24"/>
      <c r="D11" s="24"/>
      <c r="E11" s="24"/>
    </row>
  </sheetData>
  <printOptions/>
  <pageMargins left="0.38" right="0.17" top="1.19" bottom="0.94" header="0.41" footer="0.5511811023622047"/>
  <pageSetup firstPageNumber="23" useFirstPageNumber="1" horizontalDpi="360" verticalDpi="360" orientation="portrait" paperSize="9" scale="93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6.5" customHeight="1"/>
  <cols>
    <col min="1" max="1" width="7.00390625" style="37" customWidth="1"/>
    <col min="2" max="2" width="43.125" style="23" customWidth="1"/>
    <col min="3" max="4" width="11.125" style="24" bestFit="1" customWidth="1"/>
    <col min="5" max="5" width="12.875" style="24" bestFit="1" customWidth="1"/>
    <col min="6" max="7" width="10.75390625" style="25" customWidth="1"/>
    <col min="8" max="8" width="11.625" style="22" customWidth="1"/>
    <col min="9" max="16384" width="9.125" style="22" customWidth="1"/>
  </cols>
  <sheetData>
    <row r="1" spans="1:7" ht="16.5" customHeight="1">
      <c r="A1" s="27" t="s">
        <v>29</v>
      </c>
      <c r="B1" s="28" t="s">
        <v>43</v>
      </c>
      <c r="C1" s="1" t="s">
        <v>357</v>
      </c>
      <c r="D1" s="1" t="s">
        <v>344</v>
      </c>
      <c r="E1" s="98" t="s">
        <v>248</v>
      </c>
      <c r="F1" s="1" t="s">
        <v>46</v>
      </c>
      <c r="G1" s="1" t="s">
        <v>46</v>
      </c>
    </row>
    <row r="2" spans="1:7" ht="16.5" customHeight="1" thickBot="1">
      <c r="A2" s="29" t="s">
        <v>174</v>
      </c>
      <c r="B2" s="30"/>
      <c r="C2" s="4">
        <v>2004</v>
      </c>
      <c r="D2" s="4">
        <v>2004</v>
      </c>
      <c r="E2" s="116">
        <v>38168</v>
      </c>
      <c r="F2" s="7" t="s">
        <v>346</v>
      </c>
      <c r="G2" s="7" t="s">
        <v>355</v>
      </c>
    </row>
    <row r="3" spans="1:8" ht="16.5" customHeight="1">
      <c r="A3" s="11">
        <v>13.01</v>
      </c>
      <c r="B3" s="14" t="s">
        <v>143</v>
      </c>
      <c r="C3" s="15">
        <v>7400000</v>
      </c>
      <c r="D3" s="15">
        <f>7500000-100000+1000000</f>
        <v>8400000</v>
      </c>
      <c r="E3" s="15">
        <v>4161744</v>
      </c>
      <c r="F3" s="17">
        <f>IF(C3=0,"-",$E3/C3*100)</f>
        <v>56.23978378378378</v>
      </c>
      <c r="G3" s="17">
        <f>IF(D3=0,"-",$E3/D3*100)</f>
        <v>49.54457142857143</v>
      </c>
      <c r="H3" s="31">
        <f>SUM(E3:E4)</f>
        <v>4906051</v>
      </c>
    </row>
    <row r="4" spans="1:7" ht="16.5" customHeight="1">
      <c r="A4" s="32" t="s">
        <v>47</v>
      </c>
      <c r="B4" s="14" t="s">
        <v>320</v>
      </c>
      <c r="C4" s="15">
        <v>4000000</v>
      </c>
      <c r="D4" s="15">
        <v>4000000</v>
      </c>
      <c r="E4" s="15">
        <v>744307</v>
      </c>
      <c r="F4" s="17">
        <f>IF(C4=0,"-",$E4/C4*100)</f>
        <v>18.607675</v>
      </c>
      <c r="G4" s="17">
        <f>IF(D4=0,"-",$E4/D4*100)</f>
        <v>18.607675</v>
      </c>
    </row>
    <row r="5" spans="1:7" ht="16.5" customHeight="1">
      <c r="A5" s="11"/>
      <c r="B5" s="14" t="s">
        <v>158</v>
      </c>
      <c r="C5" s="15"/>
      <c r="D5" s="15"/>
      <c r="E5" s="15"/>
      <c r="F5" s="17" t="str">
        <f aca="true" t="shared" si="0" ref="F5:F36">IF(C5=0,"-",$E5/C5*100)</f>
        <v>-</v>
      </c>
      <c r="G5" s="17" t="str">
        <f aca="true" t="shared" si="1" ref="G5:G36">IF(D5=0,"-",$E5/D5*100)</f>
        <v>-</v>
      </c>
    </row>
    <row r="6" spans="1:7" ht="16.5" customHeight="1">
      <c r="A6" s="11">
        <v>13.02</v>
      </c>
      <c r="B6" s="14" t="s">
        <v>181</v>
      </c>
      <c r="C6" s="15">
        <v>11000000</v>
      </c>
      <c r="D6" s="15">
        <f>11000000-1000000</f>
        <v>10000000</v>
      </c>
      <c r="E6" s="15">
        <v>2578225</v>
      </c>
      <c r="F6" s="17">
        <f t="shared" si="0"/>
        <v>23.43840909090909</v>
      </c>
      <c r="G6" s="17">
        <f t="shared" si="1"/>
        <v>25.78225</v>
      </c>
    </row>
    <row r="7" spans="1:7" ht="16.5" customHeight="1">
      <c r="A7" s="11">
        <v>13.03</v>
      </c>
      <c r="B7" s="14" t="s">
        <v>301</v>
      </c>
      <c r="C7" s="15">
        <v>10860000</v>
      </c>
      <c r="D7" s="15">
        <v>10860000</v>
      </c>
      <c r="E7" s="15">
        <v>2612756</v>
      </c>
      <c r="F7" s="17">
        <f t="shared" si="0"/>
        <v>24.058526703499076</v>
      </c>
      <c r="G7" s="17">
        <f t="shared" si="1"/>
        <v>24.058526703499076</v>
      </c>
    </row>
    <row r="8" spans="1:7" ht="16.5" customHeight="1">
      <c r="A8" s="11">
        <v>13.04</v>
      </c>
      <c r="B8" s="14" t="s">
        <v>144</v>
      </c>
      <c r="C8" s="15">
        <v>1000000</v>
      </c>
      <c r="D8" s="15">
        <v>1000000</v>
      </c>
      <c r="E8" s="15">
        <v>282399</v>
      </c>
      <c r="F8" s="17">
        <f t="shared" si="0"/>
        <v>28.239900000000002</v>
      </c>
      <c r="G8" s="17">
        <f t="shared" si="1"/>
        <v>28.239900000000002</v>
      </c>
    </row>
    <row r="9" spans="1:7" ht="16.5" customHeight="1">
      <c r="A9" s="11">
        <v>13.05</v>
      </c>
      <c r="B9" s="14" t="s">
        <v>145</v>
      </c>
      <c r="C9" s="15">
        <v>4750000</v>
      </c>
      <c r="D9" s="15">
        <v>4750000</v>
      </c>
      <c r="E9" s="15">
        <v>1596500</v>
      </c>
      <c r="F9" s="17">
        <f t="shared" si="0"/>
        <v>33.61052631578947</v>
      </c>
      <c r="G9" s="17">
        <f t="shared" si="1"/>
        <v>33.61052631578947</v>
      </c>
    </row>
    <row r="10" spans="1:7" ht="16.5" customHeight="1">
      <c r="A10" s="11">
        <v>13.06</v>
      </c>
      <c r="B10" s="14" t="s">
        <v>182</v>
      </c>
      <c r="C10" s="15">
        <v>7500000</v>
      </c>
      <c r="D10" s="15">
        <f>7500000-1000000</f>
        <v>6500000</v>
      </c>
      <c r="E10" s="15"/>
      <c r="F10" s="17">
        <f t="shared" si="0"/>
        <v>0</v>
      </c>
      <c r="G10" s="17">
        <f t="shared" si="1"/>
        <v>0</v>
      </c>
    </row>
    <row r="11" spans="1:7" ht="16.5" customHeight="1">
      <c r="A11" s="11">
        <v>13.07</v>
      </c>
      <c r="B11" s="14" t="s">
        <v>177</v>
      </c>
      <c r="C11" s="15">
        <v>4500000</v>
      </c>
      <c r="D11" s="15">
        <v>4500000</v>
      </c>
      <c r="E11" s="15">
        <v>1059759</v>
      </c>
      <c r="F11" s="17">
        <f t="shared" si="0"/>
        <v>23.5502</v>
      </c>
      <c r="G11" s="17">
        <f t="shared" si="1"/>
        <v>23.5502</v>
      </c>
    </row>
    <row r="12" spans="1:7" ht="16.5" customHeight="1">
      <c r="A12" s="11">
        <v>13.08</v>
      </c>
      <c r="B12" s="14" t="s">
        <v>27</v>
      </c>
      <c r="C12" s="15">
        <v>3900000</v>
      </c>
      <c r="D12" s="15">
        <v>3900000</v>
      </c>
      <c r="E12" s="15"/>
      <c r="F12" s="17">
        <f t="shared" si="0"/>
        <v>0</v>
      </c>
      <c r="G12" s="17">
        <f t="shared" si="1"/>
        <v>0</v>
      </c>
    </row>
    <row r="13" spans="1:7" ht="16.5" customHeight="1">
      <c r="A13" s="11">
        <v>13.09</v>
      </c>
      <c r="B13" s="14" t="s">
        <v>175</v>
      </c>
      <c r="C13" s="15">
        <v>53000000</v>
      </c>
      <c r="D13" s="15">
        <v>53000000</v>
      </c>
      <c r="E13" s="15">
        <v>27427605</v>
      </c>
      <c r="F13" s="17">
        <f t="shared" si="0"/>
        <v>51.750198113207546</v>
      </c>
      <c r="G13" s="17">
        <f t="shared" si="1"/>
        <v>51.750198113207546</v>
      </c>
    </row>
    <row r="14" spans="1:8" ht="16.5" customHeight="1">
      <c r="A14" s="32" t="s">
        <v>169</v>
      </c>
      <c r="B14" s="14" t="s">
        <v>22</v>
      </c>
      <c r="C14" s="15">
        <v>14710000</v>
      </c>
      <c r="D14" s="15">
        <v>14710000</v>
      </c>
      <c r="E14" s="15">
        <v>7320651</v>
      </c>
      <c r="F14" s="17">
        <f t="shared" si="0"/>
        <v>49.76649218218899</v>
      </c>
      <c r="G14" s="17">
        <f t="shared" si="1"/>
        <v>49.76649218218899</v>
      </c>
      <c r="H14" s="31"/>
    </row>
    <row r="15" spans="1:7" ht="16.5" customHeight="1">
      <c r="A15" s="32" t="s">
        <v>170</v>
      </c>
      <c r="B15" s="14" t="s">
        <v>183</v>
      </c>
      <c r="C15" s="15">
        <v>1300000</v>
      </c>
      <c r="D15" s="15">
        <v>1300000</v>
      </c>
      <c r="E15" s="15">
        <v>464642</v>
      </c>
      <c r="F15" s="17">
        <f t="shared" si="0"/>
        <v>35.741692307692304</v>
      </c>
      <c r="G15" s="17">
        <f t="shared" si="1"/>
        <v>35.741692307692304</v>
      </c>
    </row>
    <row r="16" spans="1:8" ht="16.5" customHeight="1">
      <c r="A16" s="32" t="s">
        <v>171</v>
      </c>
      <c r="B16" s="14" t="s">
        <v>23</v>
      </c>
      <c r="C16" s="15">
        <v>2800000</v>
      </c>
      <c r="D16" s="15">
        <v>2800000</v>
      </c>
      <c r="E16" s="15">
        <v>1700000</v>
      </c>
      <c r="F16" s="17">
        <f t="shared" si="0"/>
        <v>60.71428571428571</v>
      </c>
      <c r="G16" s="17">
        <f t="shared" si="1"/>
        <v>60.71428571428571</v>
      </c>
      <c r="H16" s="31">
        <f>SUM(E16:E17)</f>
        <v>1700000</v>
      </c>
    </row>
    <row r="17" spans="1:7" ht="16.5" customHeight="1">
      <c r="A17" s="32" t="s">
        <v>171</v>
      </c>
      <c r="B17" s="14" t="s">
        <v>153</v>
      </c>
      <c r="C17" s="15">
        <v>2800000</v>
      </c>
      <c r="D17" s="15">
        <f>2800000-500000</f>
        <v>2300000</v>
      </c>
      <c r="E17" s="15"/>
      <c r="F17" s="17">
        <f t="shared" si="0"/>
        <v>0</v>
      </c>
      <c r="G17" s="17">
        <f t="shared" si="1"/>
        <v>0</v>
      </c>
    </row>
    <row r="18" spans="1:7" ht="16.5" customHeight="1">
      <c r="A18" s="32" t="s">
        <v>171</v>
      </c>
      <c r="B18" s="14" t="s">
        <v>354</v>
      </c>
      <c r="C18" s="15"/>
      <c r="D18" s="15">
        <v>500000</v>
      </c>
      <c r="E18" s="15"/>
      <c r="F18" s="17" t="str">
        <f t="shared" si="0"/>
        <v>-</v>
      </c>
      <c r="G18" s="17">
        <f t="shared" si="1"/>
        <v>0</v>
      </c>
    </row>
    <row r="19" spans="1:7" ht="16.5" customHeight="1">
      <c r="A19" s="32" t="s">
        <v>50</v>
      </c>
      <c r="B19" s="14" t="s">
        <v>18</v>
      </c>
      <c r="C19" s="15">
        <v>620000</v>
      </c>
      <c r="D19" s="15">
        <f>620000+540000</f>
        <v>1160000</v>
      </c>
      <c r="E19" s="15">
        <v>350000</v>
      </c>
      <c r="F19" s="17">
        <f t="shared" si="0"/>
        <v>56.451612903225815</v>
      </c>
      <c r="G19" s="17">
        <f t="shared" si="1"/>
        <v>30.17241379310345</v>
      </c>
    </row>
    <row r="20" spans="1:7" ht="16.5" customHeight="1">
      <c r="A20" s="32" t="s">
        <v>51</v>
      </c>
      <c r="B20" s="14" t="s">
        <v>130</v>
      </c>
      <c r="C20" s="15">
        <v>5000000</v>
      </c>
      <c r="D20" s="15">
        <v>5000000</v>
      </c>
      <c r="E20" s="15">
        <v>4500000</v>
      </c>
      <c r="F20" s="17">
        <f t="shared" si="0"/>
        <v>90</v>
      </c>
      <c r="G20" s="17">
        <f t="shared" si="1"/>
        <v>90</v>
      </c>
    </row>
    <row r="21" spans="1:7" ht="16.5" customHeight="1">
      <c r="A21" s="32" t="s">
        <v>53</v>
      </c>
      <c r="B21" s="14" t="s">
        <v>141</v>
      </c>
      <c r="C21" s="15">
        <v>32000000</v>
      </c>
      <c r="D21" s="15">
        <v>32000000</v>
      </c>
      <c r="E21" s="15">
        <v>16000000</v>
      </c>
      <c r="F21" s="17">
        <f t="shared" si="0"/>
        <v>50</v>
      </c>
      <c r="G21" s="17">
        <f t="shared" si="1"/>
        <v>50</v>
      </c>
    </row>
    <row r="22" spans="1:7" ht="16.5" customHeight="1">
      <c r="A22" s="32" t="s">
        <v>172</v>
      </c>
      <c r="B22" s="14" t="s">
        <v>232</v>
      </c>
      <c r="C22" s="15">
        <v>7000000</v>
      </c>
      <c r="D22" s="15">
        <v>7000000</v>
      </c>
      <c r="E22" s="15">
        <v>3617651</v>
      </c>
      <c r="F22" s="17">
        <f t="shared" si="0"/>
        <v>51.68072857142857</v>
      </c>
      <c r="G22" s="17">
        <f t="shared" si="1"/>
        <v>51.68072857142857</v>
      </c>
    </row>
    <row r="23" spans="1:7" ht="16.5" customHeight="1">
      <c r="A23" s="32" t="s">
        <v>54</v>
      </c>
      <c r="B23" s="14" t="s">
        <v>16</v>
      </c>
      <c r="C23" s="15">
        <v>5000000</v>
      </c>
      <c r="D23" s="15">
        <v>5000000</v>
      </c>
      <c r="E23" s="15">
        <v>2031435</v>
      </c>
      <c r="F23" s="17">
        <f t="shared" si="0"/>
        <v>40.6287</v>
      </c>
      <c r="G23" s="17">
        <f t="shared" si="1"/>
        <v>40.6287</v>
      </c>
    </row>
    <row r="24" spans="1:8" ht="16.5" customHeight="1">
      <c r="A24" s="32" t="s">
        <v>52</v>
      </c>
      <c r="B24" s="14" t="s">
        <v>17</v>
      </c>
      <c r="C24" s="15">
        <v>5000000</v>
      </c>
      <c r="D24" s="15">
        <v>5000000</v>
      </c>
      <c r="E24" s="15">
        <v>130381</v>
      </c>
      <c r="F24" s="17">
        <f t="shared" si="0"/>
        <v>2.6076200000000003</v>
      </c>
      <c r="G24" s="17">
        <f t="shared" si="1"/>
        <v>2.6076200000000003</v>
      </c>
      <c r="H24" s="31">
        <f>SUM(E24:E25)</f>
        <v>3130381</v>
      </c>
    </row>
    <row r="25" spans="1:7" ht="16.5" customHeight="1">
      <c r="A25" s="32" t="s">
        <v>52</v>
      </c>
      <c r="B25" s="14" t="s">
        <v>241</v>
      </c>
      <c r="C25" s="15">
        <v>3000000</v>
      </c>
      <c r="D25" s="15">
        <v>3000000</v>
      </c>
      <c r="E25" s="15">
        <v>3000000</v>
      </c>
      <c r="F25" s="17">
        <f t="shared" si="0"/>
        <v>100</v>
      </c>
      <c r="G25" s="17">
        <f t="shared" si="1"/>
        <v>100</v>
      </c>
    </row>
    <row r="26" spans="1:7" ht="16.5" customHeight="1">
      <c r="A26" s="32" t="s">
        <v>49</v>
      </c>
      <c r="B26" s="14" t="s">
        <v>41</v>
      </c>
      <c r="C26" s="15">
        <v>1500000</v>
      </c>
      <c r="D26" s="15">
        <v>1500000</v>
      </c>
      <c r="E26" s="15">
        <v>750000</v>
      </c>
      <c r="F26" s="17">
        <f t="shared" si="0"/>
        <v>50</v>
      </c>
      <c r="G26" s="17">
        <f t="shared" si="1"/>
        <v>50</v>
      </c>
    </row>
    <row r="27" spans="1:8" ht="16.5" customHeight="1">
      <c r="A27" s="32" t="s">
        <v>48</v>
      </c>
      <c r="B27" s="14" t="s">
        <v>313</v>
      </c>
      <c r="C27" s="15">
        <v>5500000</v>
      </c>
      <c r="D27" s="15">
        <v>5500000</v>
      </c>
      <c r="E27" s="15">
        <v>1572994</v>
      </c>
      <c r="F27" s="17">
        <f t="shared" si="0"/>
        <v>28.59989090909091</v>
      </c>
      <c r="G27" s="17">
        <f t="shared" si="1"/>
        <v>28.59989090909091</v>
      </c>
      <c r="H27" s="31">
        <f>SUM(E27:E28)</f>
        <v>9526172</v>
      </c>
    </row>
    <row r="28" spans="1:8" ht="16.5" customHeight="1">
      <c r="A28" s="32" t="s">
        <v>48</v>
      </c>
      <c r="B28" s="14" t="s">
        <v>278</v>
      </c>
      <c r="C28" s="15">
        <f>8000000+10000000</f>
        <v>18000000</v>
      </c>
      <c r="D28" s="15">
        <f>8000000+10000000</f>
        <v>18000000</v>
      </c>
      <c r="E28" s="15">
        <v>7953178</v>
      </c>
      <c r="F28" s="17">
        <f t="shared" si="0"/>
        <v>44.18432222222222</v>
      </c>
      <c r="G28" s="17">
        <f t="shared" si="1"/>
        <v>44.18432222222222</v>
      </c>
      <c r="H28" s="31"/>
    </row>
    <row r="29" spans="1:8" ht="16.5" customHeight="1">
      <c r="A29" s="32">
        <v>13.23</v>
      </c>
      <c r="B29" s="14" t="s">
        <v>324</v>
      </c>
      <c r="C29" s="15">
        <v>6000000</v>
      </c>
      <c r="D29" s="15">
        <f>6000000+2000000</f>
        <v>8000000</v>
      </c>
      <c r="E29" s="15">
        <v>1809080</v>
      </c>
      <c r="F29" s="17">
        <f t="shared" si="0"/>
        <v>30.151333333333337</v>
      </c>
      <c r="G29" s="17">
        <f t="shared" si="1"/>
        <v>22.613500000000002</v>
      </c>
      <c r="H29" s="31">
        <f>SUM(E29:E30)</f>
        <v>27759097</v>
      </c>
    </row>
    <row r="30" spans="1:7" ht="16.5" customHeight="1">
      <c r="A30" s="32" t="s">
        <v>131</v>
      </c>
      <c r="B30" s="14" t="s">
        <v>142</v>
      </c>
      <c r="C30" s="15">
        <f>51900000</f>
        <v>51900000</v>
      </c>
      <c r="D30" s="15">
        <f>51900000</f>
        <v>51900000</v>
      </c>
      <c r="E30" s="15">
        <v>25950017</v>
      </c>
      <c r="F30" s="17">
        <f t="shared" si="0"/>
        <v>50.00003275529865</v>
      </c>
      <c r="G30" s="17">
        <f t="shared" si="1"/>
        <v>50.00003275529865</v>
      </c>
    </row>
    <row r="31" spans="1:7" ht="16.5" customHeight="1">
      <c r="A31" s="32" t="s">
        <v>173</v>
      </c>
      <c r="B31" s="14" t="s">
        <v>233</v>
      </c>
      <c r="C31" s="15">
        <f>45000000+24000000+3000000</f>
        <v>72000000</v>
      </c>
      <c r="D31" s="15">
        <f>45000000+24000000+3000000</f>
        <v>72000000</v>
      </c>
      <c r="E31" s="15">
        <v>20697428</v>
      </c>
      <c r="F31" s="17">
        <f t="shared" si="0"/>
        <v>28.74642777777778</v>
      </c>
      <c r="G31" s="17">
        <f t="shared" si="1"/>
        <v>28.74642777777778</v>
      </c>
    </row>
    <row r="32" spans="1:7" ht="16.5" customHeight="1">
      <c r="A32" s="32">
        <v>13.28</v>
      </c>
      <c r="B32" s="14" t="s">
        <v>179</v>
      </c>
      <c r="C32" s="15">
        <v>7000000</v>
      </c>
      <c r="D32" s="15">
        <v>7000000</v>
      </c>
      <c r="E32" s="15">
        <v>2729703</v>
      </c>
      <c r="F32" s="17">
        <f t="shared" si="0"/>
        <v>38.99575714285714</v>
      </c>
      <c r="G32" s="17">
        <f t="shared" si="1"/>
        <v>38.99575714285714</v>
      </c>
    </row>
    <row r="33" spans="1:7" ht="16.5" customHeight="1">
      <c r="A33" s="32" t="s">
        <v>287</v>
      </c>
      <c r="B33" s="14" t="s">
        <v>288</v>
      </c>
      <c r="C33" s="15">
        <v>103500000</v>
      </c>
      <c r="D33" s="15">
        <v>103500000</v>
      </c>
      <c r="E33" s="15">
        <v>102660042</v>
      </c>
      <c r="F33" s="17">
        <f t="shared" si="0"/>
        <v>99.18844637681158</v>
      </c>
      <c r="G33" s="17">
        <f t="shared" si="1"/>
        <v>99.18844637681158</v>
      </c>
    </row>
    <row r="34" spans="1:7" ht="16.5" customHeight="1">
      <c r="A34" s="32" t="s">
        <v>292</v>
      </c>
      <c r="B34" s="14" t="s">
        <v>347</v>
      </c>
      <c r="C34" s="15"/>
      <c r="D34" s="15">
        <v>37424667</v>
      </c>
      <c r="E34" s="15">
        <v>37424667</v>
      </c>
      <c r="F34" s="17" t="str">
        <f t="shared" si="0"/>
        <v>-</v>
      </c>
      <c r="G34" s="17">
        <f t="shared" si="1"/>
        <v>100</v>
      </c>
    </row>
    <row r="35" spans="1:7" ht="16.5" customHeight="1">
      <c r="A35" s="32">
        <v>13.32</v>
      </c>
      <c r="B35" s="14" t="s">
        <v>316</v>
      </c>
      <c r="C35" s="15">
        <v>30000000</v>
      </c>
      <c r="D35" s="15">
        <v>30000000</v>
      </c>
      <c r="E35" s="15">
        <v>46272834</v>
      </c>
      <c r="F35" s="17">
        <f t="shared" si="0"/>
        <v>154.24278</v>
      </c>
      <c r="G35" s="17">
        <f t="shared" si="1"/>
        <v>154.24278</v>
      </c>
    </row>
    <row r="36" spans="1:7" ht="16.5" customHeight="1" thickBot="1">
      <c r="A36" s="33"/>
      <c r="B36" s="34" t="s">
        <v>190</v>
      </c>
      <c r="C36" s="35">
        <f>SUM(C3:C35)</f>
        <v>482540000</v>
      </c>
      <c r="D36" s="35">
        <f>SUM(D3:D35)</f>
        <v>521504667</v>
      </c>
      <c r="E36" s="35">
        <f>SUM(E3:E35)</f>
        <v>327397998</v>
      </c>
      <c r="F36" s="36">
        <f t="shared" si="0"/>
        <v>67.84888257968251</v>
      </c>
      <c r="G36" s="36">
        <f t="shared" si="1"/>
        <v>62.77949531753663</v>
      </c>
    </row>
  </sheetData>
  <printOptions/>
  <pageMargins left="0.41" right="0.17" top="1.02" bottom="0.18" header="0.38" footer="0.18"/>
  <pageSetup firstPageNumber="24" useFirstPageNumber="1" horizontalDpi="360" verticalDpi="360" orientation="portrait" paperSize="9" scale="93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78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8" customHeight="1"/>
  <cols>
    <col min="1" max="1" width="7.00390625" style="91" customWidth="1"/>
    <col min="2" max="2" width="43.25390625" style="23" bestFit="1" customWidth="1"/>
    <col min="3" max="4" width="11.125" style="25" bestFit="1" customWidth="1"/>
    <col min="5" max="5" width="12.875" style="25" bestFit="1" customWidth="1"/>
    <col min="6" max="7" width="10.75390625" style="92" customWidth="1"/>
    <col min="8" max="8" width="10.125" style="2" bestFit="1" customWidth="1"/>
    <col min="9" max="16384" width="9.125" style="2" customWidth="1"/>
  </cols>
  <sheetData>
    <row r="1" spans="1:7" ht="18" customHeight="1">
      <c r="A1" s="27" t="s">
        <v>29</v>
      </c>
      <c r="B1" s="28" t="s">
        <v>43</v>
      </c>
      <c r="C1" s="1" t="s">
        <v>357</v>
      </c>
      <c r="D1" s="117" t="s">
        <v>344</v>
      </c>
      <c r="E1" s="1" t="s">
        <v>248</v>
      </c>
      <c r="F1" s="1" t="s">
        <v>46</v>
      </c>
      <c r="G1" s="1" t="s">
        <v>46</v>
      </c>
    </row>
    <row r="2" spans="1:7" ht="18" customHeight="1" thickBot="1">
      <c r="A2" s="29" t="s">
        <v>28</v>
      </c>
      <c r="B2" s="30"/>
      <c r="C2" s="33">
        <v>2004</v>
      </c>
      <c r="D2" s="118">
        <v>2004</v>
      </c>
      <c r="E2" s="115">
        <v>38168</v>
      </c>
      <c r="F2" s="7" t="s">
        <v>346</v>
      </c>
      <c r="G2" s="7" t="s">
        <v>355</v>
      </c>
    </row>
    <row r="3" spans="1:7" ht="18" customHeight="1">
      <c r="A3" s="93"/>
      <c r="B3" s="94"/>
      <c r="C3" s="99"/>
      <c r="D3" s="99"/>
      <c r="E3" s="99"/>
      <c r="F3" s="100"/>
      <c r="G3" s="100"/>
    </row>
    <row r="4" spans="1:7" ht="18" customHeight="1">
      <c r="A4" s="8" t="s">
        <v>58</v>
      </c>
      <c r="B4" s="14" t="s">
        <v>265</v>
      </c>
      <c r="C4" s="74">
        <v>2000000</v>
      </c>
      <c r="D4" s="74">
        <f>2000000+500000</f>
        <v>2500000</v>
      </c>
      <c r="E4" s="74">
        <v>806898</v>
      </c>
      <c r="F4" s="17">
        <f>IF(C4=0,"-",$E4/C4*100)</f>
        <v>40.3449</v>
      </c>
      <c r="G4" s="17">
        <f>IF(D4=0,"-",$E4/D4*100)</f>
        <v>32.27592</v>
      </c>
    </row>
    <row r="5" spans="1:7" ht="18" customHeight="1">
      <c r="A5" s="8" t="s">
        <v>64</v>
      </c>
      <c r="B5" s="14" t="s">
        <v>266</v>
      </c>
      <c r="C5" s="74">
        <v>7000000</v>
      </c>
      <c r="D5" s="74">
        <f>7000000-1000000</f>
        <v>6000000</v>
      </c>
      <c r="E5" s="74">
        <v>2527436</v>
      </c>
      <c r="F5" s="17">
        <f aca="true" t="shared" si="0" ref="F5:F15">IF(C5=0,"-",$E5/C5*100)</f>
        <v>36.106228571428574</v>
      </c>
      <c r="G5" s="17">
        <f aca="true" t="shared" si="1" ref="G5:G15">IF(D5=0,"-",$E5/D5*100)</f>
        <v>42.12393333333333</v>
      </c>
    </row>
    <row r="6" spans="1:7" ht="18" customHeight="1">
      <c r="A6" s="8" t="s">
        <v>63</v>
      </c>
      <c r="B6" s="14" t="s">
        <v>267</v>
      </c>
      <c r="C6" s="74">
        <v>86000000</v>
      </c>
      <c r="D6" s="74">
        <v>86000000</v>
      </c>
      <c r="E6" s="74">
        <v>43000001</v>
      </c>
      <c r="F6" s="17">
        <f t="shared" si="0"/>
        <v>50.000001162790696</v>
      </c>
      <c r="G6" s="17">
        <f t="shared" si="1"/>
        <v>50.000001162790696</v>
      </c>
    </row>
    <row r="7" spans="1:7" ht="18" customHeight="1">
      <c r="A7" s="8" t="s">
        <v>62</v>
      </c>
      <c r="B7" s="14" t="s">
        <v>268</v>
      </c>
      <c r="C7" s="74">
        <v>6000000</v>
      </c>
      <c r="D7" s="74">
        <f>6000000+5000000</f>
        <v>11000000</v>
      </c>
      <c r="E7" s="74">
        <v>3655593</v>
      </c>
      <c r="F7" s="17">
        <f t="shared" si="0"/>
        <v>60.92655</v>
      </c>
      <c r="G7" s="17">
        <f t="shared" si="1"/>
        <v>33.23266363636363</v>
      </c>
    </row>
    <row r="8" spans="1:7" ht="18" customHeight="1">
      <c r="A8" s="8" t="s">
        <v>61</v>
      </c>
      <c r="B8" s="14" t="s">
        <v>269</v>
      </c>
      <c r="C8" s="74">
        <v>15000000</v>
      </c>
      <c r="D8" s="74">
        <v>15000000</v>
      </c>
      <c r="E8" s="74">
        <v>7500003</v>
      </c>
      <c r="F8" s="17">
        <f t="shared" si="0"/>
        <v>50.00002</v>
      </c>
      <c r="G8" s="17">
        <f t="shared" si="1"/>
        <v>50.00002</v>
      </c>
    </row>
    <row r="9" spans="1:7" ht="18" customHeight="1">
      <c r="A9" s="8" t="s">
        <v>60</v>
      </c>
      <c r="B9" s="14" t="s">
        <v>270</v>
      </c>
      <c r="C9" s="74">
        <v>4000000</v>
      </c>
      <c r="D9" s="74">
        <v>4000000</v>
      </c>
      <c r="E9" s="74">
        <v>3400000</v>
      </c>
      <c r="F9" s="17">
        <f t="shared" si="0"/>
        <v>85</v>
      </c>
      <c r="G9" s="17">
        <f t="shared" si="1"/>
        <v>85</v>
      </c>
    </row>
    <row r="10" spans="1:8" s="101" customFormat="1" ht="18" customHeight="1">
      <c r="A10" s="8" t="s">
        <v>59</v>
      </c>
      <c r="B10" s="14" t="s">
        <v>314</v>
      </c>
      <c r="C10" s="74">
        <v>5000000</v>
      </c>
      <c r="D10" s="74">
        <v>5000000</v>
      </c>
      <c r="E10" s="74"/>
      <c r="F10" s="17">
        <f t="shared" si="0"/>
        <v>0</v>
      </c>
      <c r="G10" s="17">
        <f t="shared" si="1"/>
        <v>0</v>
      </c>
      <c r="H10" s="120">
        <f>SUM(E10:E11)</f>
        <v>4437287</v>
      </c>
    </row>
    <row r="11" spans="1:7" ht="18" customHeight="1">
      <c r="A11" s="8" t="s">
        <v>59</v>
      </c>
      <c r="B11" s="14" t="s">
        <v>271</v>
      </c>
      <c r="C11" s="74">
        <v>5000000</v>
      </c>
      <c r="D11" s="74">
        <f>5000000+500000</f>
        <v>5500000</v>
      </c>
      <c r="E11" s="74">
        <v>4437287</v>
      </c>
      <c r="F11" s="17">
        <f t="shared" si="0"/>
        <v>88.74574</v>
      </c>
      <c r="G11" s="17">
        <f t="shared" si="1"/>
        <v>80.67794545454545</v>
      </c>
    </row>
    <row r="12" spans="1:8" ht="18" customHeight="1">
      <c r="A12" s="8" t="s">
        <v>57</v>
      </c>
      <c r="B12" s="14" t="s">
        <v>180</v>
      </c>
      <c r="C12" s="74">
        <v>1600000</v>
      </c>
      <c r="D12" s="74">
        <v>1600000</v>
      </c>
      <c r="E12" s="74">
        <v>1621038</v>
      </c>
      <c r="F12" s="17">
        <f t="shared" si="0"/>
        <v>101.314875</v>
      </c>
      <c r="G12" s="17">
        <f t="shared" si="1"/>
        <v>101.314875</v>
      </c>
      <c r="H12" s="102">
        <f>SUM(E12:E14)</f>
        <v>12532919</v>
      </c>
    </row>
    <row r="13" spans="1:7" ht="18" customHeight="1">
      <c r="A13" s="8" t="s">
        <v>57</v>
      </c>
      <c r="B13" s="14" t="s">
        <v>315</v>
      </c>
      <c r="C13" s="74">
        <v>4800000</v>
      </c>
      <c r="D13" s="74">
        <v>4800000</v>
      </c>
      <c r="E13" s="74">
        <v>3105239</v>
      </c>
      <c r="F13" s="17">
        <f t="shared" si="0"/>
        <v>64.69247916666667</v>
      </c>
      <c r="G13" s="17">
        <f t="shared" si="1"/>
        <v>64.69247916666667</v>
      </c>
    </row>
    <row r="14" spans="1:7" ht="18" customHeight="1">
      <c r="A14" s="8" t="s">
        <v>57</v>
      </c>
      <c r="B14" s="14" t="s">
        <v>281</v>
      </c>
      <c r="C14" s="74">
        <v>16000000</v>
      </c>
      <c r="D14" s="74">
        <v>16000000</v>
      </c>
      <c r="E14" s="74">
        <f>3894726+3911916</f>
        <v>7806642</v>
      </c>
      <c r="F14" s="17">
        <f t="shared" si="0"/>
        <v>48.7915125</v>
      </c>
      <c r="G14" s="17">
        <f t="shared" si="1"/>
        <v>48.7915125</v>
      </c>
    </row>
    <row r="15" spans="1:7" ht="18" customHeight="1">
      <c r="A15" s="8" t="s">
        <v>56</v>
      </c>
      <c r="B15" s="14" t="s">
        <v>272</v>
      </c>
      <c r="C15" s="74">
        <v>25000000</v>
      </c>
      <c r="D15" s="74">
        <v>25000000</v>
      </c>
      <c r="E15" s="74">
        <v>15287595</v>
      </c>
      <c r="F15" s="17">
        <f t="shared" si="0"/>
        <v>61.150380000000006</v>
      </c>
      <c r="G15" s="17">
        <f t="shared" si="1"/>
        <v>61.150380000000006</v>
      </c>
    </row>
    <row r="16" spans="1:7" ht="18" customHeight="1">
      <c r="A16" s="8"/>
      <c r="B16" s="14"/>
      <c r="C16" s="74"/>
      <c r="D16" s="74"/>
      <c r="E16" s="74"/>
      <c r="F16" s="17"/>
      <c r="G16" s="17"/>
    </row>
    <row r="17" spans="1:7" ht="18" customHeight="1">
      <c r="A17" s="16"/>
      <c r="B17" s="14"/>
      <c r="C17" s="74"/>
      <c r="D17" s="74"/>
      <c r="E17" s="74"/>
      <c r="F17" s="17"/>
      <c r="G17" s="17"/>
    </row>
    <row r="18" spans="1:7" ht="18" customHeight="1" thickBot="1">
      <c r="A18" s="75"/>
      <c r="B18" s="34" t="s">
        <v>190</v>
      </c>
      <c r="C18" s="103">
        <f>SUM(C4:C17)</f>
        <v>177400000</v>
      </c>
      <c r="D18" s="103">
        <f>SUM(D4:D17)</f>
        <v>182400000</v>
      </c>
      <c r="E18" s="103">
        <f>SUM(E4:E17)</f>
        <v>93147732</v>
      </c>
      <c r="F18" s="36">
        <f>IF(C18=0,"-",$E18/C18*100)</f>
        <v>52.50717700112739</v>
      </c>
      <c r="G18" s="36">
        <f>IF(D18=0,"-",$E18/D18*100)</f>
        <v>51.06783552631578</v>
      </c>
    </row>
    <row r="19" spans="3:7" ht="18" customHeight="1">
      <c r="C19" s="58"/>
      <c r="D19" s="58"/>
      <c r="E19" s="58"/>
      <c r="F19" s="59"/>
      <c r="G19" s="59"/>
    </row>
    <row r="20" spans="3:7" ht="18" customHeight="1">
      <c r="C20" s="24"/>
      <c r="D20" s="24"/>
      <c r="E20" s="24"/>
      <c r="F20" s="59"/>
      <c r="G20" s="59"/>
    </row>
    <row r="21" spans="6:7" ht="18" customHeight="1">
      <c r="F21" s="59"/>
      <c r="G21" s="59"/>
    </row>
    <row r="22" spans="6:7" ht="18" customHeight="1">
      <c r="F22" s="59"/>
      <c r="G22" s="59"/>
    </row>
    <row r="23" spans="6:7" ht="18" customHeight="1">
      <c r="F23" s="59"/>
      <c r="G23" s="59"/>
    </row>
    <row r="24" spans="6:7" ht="18" customHeight="1">
      <c r="F24" s="59"/>
      <c r="G24" s="59"/>
    </row>
    <row r="25" spans="6:7" ht="18" customHeight="1">
      <c r="F25" s="59"/>
      <c r="G25" s="59"/>
    </row>
    <row r="26" spans="6:7" ht="18" customHeight="1">
      <c r="F26" s="59"/>
      <c r="G26" s="59"/>
    </row>
    <row r="27" spans="6:7" ht="18" customHeight="1">
      <c r="F27" s="59"/>
      <c r="G27" s="59"/>
    </row>
    <row r="28" spans="6:7" ht="18" customHeight="1">
      <c r="F28" s="59"/>
      <c r="G28" s="59"/>
    </row>
    <row r="29" spans="6:7" ht="18" customHeight="1">
      <c r="F29" s="59"/>
      <c r="G29" s="59"/>
    </row>
    <row r="30" spans="6:7" ht="18" customHeight="1">
      <c r="F30" s="59"/>
      <c r="G30" s="59"/>
    </row>
    <row r="31" spans="6:7" ht="18" customHeight="1">
      <c r="F31" s="59"/>
      <c r="G31" s="59"/>
    </row>
    <row r="32" spans="6:7" ht="18" customHeight="1">
      <c r="F32" s="59"/>
      <c r="G32" s="59"/>
    </row>
    <row r="33" spans="6:7" ht="18" customHeight="1">
      <c r="F33" s="59"/>
      <c r="G33" s="59"/>
    </row>
    <row r="34" spans="6:7" ht="18" customHeight="1">
      <c r="F34" s="59"/>
      <c r="G34" s="59"/>
    </row>
    <row r="35" spans="6:7" ht="18" customHeight="1">
      <c r="F35" s="59"/>
      <c r="G35" s="59"/>
    </row>
    <row r="36" spans="6:7" ht="18" customHeight="1">
      <c r="F36" s="59"/>
      <c r="G36" s="59"/>
    </row>
    <row r="37" spans="6:7" ht="18" customHeight="1">
      <c r="F37" s="59"/>
      <c r="G37" s="59"/>
    </row>
    <row r="38" spans="6:7" ht="18" customHeight="1">
      <c r="F38" s="59"/>
      <c r="G38" s="59"/>
    </row>
    <row r="39" spans="6:7" ht="18" customHeight="1">
      <c r="F39" s="59"/>
      <c r="G39" s="59"/>
    </row>
    <row r="40" spans="6:7" ht="18" customHeight="1">
      <c r="F40" s="59"/>
      <c r="G40" s="59"/>
    </row>
    <row r="41" spans="6:7" ht="18" customHeight="1">
      <c r="F41" s="59"/>
      <c r="G41" s="59"/>
    </row>
    <row r="42" spans="6:7" ht="18" customHeight="1">
      <c r="F42" s="59"/>
      <c r="G42" s="59"/>
    </row>
    <row r="43" spans="6:7" ht="18" customHeight="1">
      <c r="F43" s="59"/>
      <c r="G43" s="59"/>
    </row>
    <row r="44" spans="6:7" ht="18" customHeight="1">
      <c r="F44" s="59"/>
      <c r="G44" s="59"/>
    </row>
    <row r="45" spans="6:7" ht="18" customHeight="1">
      <c r="F45" s="59"/>
      <c r="G45" s="59"/>
    </row>
    <row r="46" spans="6:7" ht="18" customHeight="1">
      <c r="F46" s="59"/>
      <c r="G46" s="59"/>
    </row>
    <row r="47" spans="6:7" ht="18" customHeight="1">
      <c r="F47" s="59"/>
      <c r="G47" s="59"/>
    </row>
    <row r="48" spans="6:7" ht="18" customHeight="1">
      <c r="F48" s="59"/>
      <c r="G48" s="59"/>
    </row>
    <row r="49" spans="6:7" ht="18" customHeight="1">
      <c r="F49" s="59"/>
      <c r="G49" s="59"/>
    </row>
    <row r="50" spans="6:7" ht="18" customHeight="1">
      <c r="F50" s="59"/>
      <c r="G50" s="59"/>
    </row>
    <row r="51" spans="6:7" ht="18" customHeight="1">
      <c r="F51" s="59"/>
      <c r="G51" s="59"/>
    </row>
    <row r="52" spans="6:7" ht="18" customHeight="1">
      <c r="F52" s="59"/>
      <c r="G52" s="59"/>
    </row>
    <row r="53" spans="6:7" ht="18" customHeight="1">
      <c r="F53" s="59"/>
      <c r="G53" s="59"/>
    </row>
    <row r="54" spans="6:7" ht="18" customHeight="1">
      <c r="F54" s="59"/>
      <c r="G54" s="59"/>
    </row>
    <row r="55" spans="6:7" ht="18" customHeight="1">
      <c r="F55" s="59"/>
      <c r="G55" s="59"/>
    </row>
    <row r="56" spans="6:7" ht="18" customHeight="1">
      <c r="F56" s="59"/>
      <c r="G56" s="59"/>
    </row>
    <row r="57" spans="6:7" ht="18" customHeight="1">
      <c r="F57" s="59"/>
      <c r="G57" s="59"/>
    </row>
    <row r="58" spans="6:7" ht="18" customHeight="1">
      <c r="F58" s="59"/>
      <c r="G58" s="59"/>
    </row>
    <row r="59" spans="6:7" ht="18" customHeight="1">
      <c r="F59" s="59"/>
      <c r="G59" s="59"/>
    </row>
    <row r="60" spans="6:7" ht="18" customHeight="1">
      <c r="F60" s="59"/>
      <c r="G60" s="59"/>
    </row>
    <row r="61" spans="6:7" ht="18" customHeight="1">
      <c r="F61" s="59"/>
      <c r="G61" s="59"/>
    </row>
    <row r="62" spans="6:7" ht="18" customHeight="1">
      <c r="F62" s="59"/>
      <c r="G62" s="59"/>
    </row>
    <row r="63" spans="6:7" ht="18" customHeight="1">
      <c r="F63" s="59"/>
      <c r="G63" s="59"/>
    </row>
    <row r="64" spans="6:7" ht="18" customHeight="1">
      <c r="F64" s="59"/>
      <c r="G64" s="59"/>
    </row>
    <row r="65" spans="6:7" ht="18" customHeight="1">
      <c r="F65" s="59"/>
      <c r="G65" s="59"/>
    </row>
    <row r="66" spans="6:7" ht="18" customHeight="1">
      <c r="F66" s="59"/>
      <c r="G66" s="59"/>
    </row>
    <row r="67" spans="6:7" ht="18" customHeight="1">
      <c r="F67" s="59"/>
      <c r="G67" s="59"/>
    </row>
    <row r="68" spans="6:7" ht="18" customHeight="1">
      <c r="F68" s="59"/>
      <c r="G68" s="59"/>
    </row>
    <row r="69" spans="6:7" ht="18" customHeight="1">
      <c r="F69" s="59"/>
      <c r="G69" s="59"/>
    </row>
    <row r="70" spans="6:7" ht="18" customHeight="1">
      <c r="F70" s="59"/>
      <c r="G70" s="59"/>
    </row>
    <row r="71" spans="6:7" ht="18" customHeight="1">
      <c r="F71" s="59"/>
      <c r="G71" s="59"/>
    </row>
    <row r="72" spans="6:7" ht="18" customHeight="1">
      <c r="F72" s="59"/>
      <c r="G72" s="59"/>
    </row>
    <row r="73" spans="6:7" ht="18" customHeight="1">
      <c r="F73" s="59"/>
      <c r="G73" s="59"/>
    </row>
    <row r="74" spans="6:7" ht="18" customHeight="1">
      <c r="F74" s="59"/>
      <c r="G74" s="59"/>
    </row>
    <row r="75" spans="6:7" ht="18" customHeight="1">
      <c r="F75" s="59"/>
      <c r="G75" s="59"/>
    </row>
    <row r="76" spans="6:7" ht="18" customHeight="1">
      <c r="F76" s="59"/>
      <c r="G76" s="59"/>
    </row>
    <row r="77" spans="6:7" ht="18" customHeight="1">
      <c r="F77" s="59"/>
      <c r="G77" s="59"/>
    </row>
    <row r="78" spans="6:7" ht="18" customHeight="1">
      <c r="F78" s="59"/>
      <c r="G78" s="59"/>
    </row>
    <row r="79" spans="6:7" ht="18" customHeight="1">
      <c r="F79" s="59"/>
      <c r="G79" s="59"/>
    </row>
    <row r="80" spans="6:7" ht="18" customHeight="1">
      <c r="F80" s="59"/>
      <c r="G80" s="59"/>
    </row>
    <row r="81" spans="6:7" ht="18" customHeight="1">
      <c r="F81" s="59"/>
      <c r="G81" s="59"/>
    </row>
    <row r="82" spans="6:7" ht="18" customHeight="1">
      <c r="F82" s="59"/>
      <c r="G82" s="59"/>
    </row>
    <row r="83" spans="6:7" ht="18" customHeight="1">
      <c r="F83" s="59"/>
      <c r="G83" s="59"/>
    </row>
    <row r="84" spans="6:7" ht="18" customHeight="1">
      <c r="F84" s="59"/>
      <c r="G84" s="59"/>
    </row>
    <row r="85" spans="6:7" ht="18" customHeight="1">
      <c r="F85" s="59"/>
      <c r="G85" s="59"/>
    </row>
    <row r="86" spans="6:7" ht="18" customHeight="1">
      <c r="F86" s="59"/>
      <c r="G86" s="59"/>
    </row>
    <row r="87" spans="6:7" ht="18" customHeight="1">
      <c r="F87" s="59"/>
      <c r="G87" s="59"/>
    </row>
    <row r="88" spans="6:7" ht="18" customHeight="1">
      <c r="F88" s="59"/>
      <c r="G88" s="59"/>
    </row>
    <row r="89" spans="6:7" ht="18" customHeight="1">
      <c r="F89" s="59"/>
      <c r="G89" s="59"/>
    </row>
    <row r="90" spans="6:7" ht="18" customHeight="1">
      <c r="F90" s="59"/>
      <c r="G90" s="59"/>
    </row>
    <row r="91" spans="6:7" ht="18" customHeight="1">
      <c r="F91" s="59"/>
      <c r="G91" s="59"/>
    </row>
    <row r="92" spans="6:7" ht="18" customHeight="1">
      <c r="F92" s="59"/>
      <c r="G92" s="59"/>
    </row>
    <row r="93" spans="6:7" ht="18" customHeight="1">
      <c r="F93" s="59"/>
      <c r="G93" s="59"/>
    </row>
    <row r="94" spans="6:7" ht="18" customHeight="1">
      <c r="F94" s="59"/>
      <c r="G94" s="59"/>
    </row>
    <row r="95" spans="6:7" ht="18" customHeight="1">
      <c r="F95" s="59"/>
      <c r="G95" s="59"/>
    </row>
    <row r="96" spans="6:7" ht="18" customHeight="1">
      <c r="F96" s="59"/>
      <c r="G96" s="59"/>
    </row>
    <row r="97" spans="6:7" ht="18" customHeight="1">
      <c r="F97" s="104"/>
      <c r="G97" s="104"/>
    </row>
    <row r="98" spans="6:7" ht="18" customHeight="1">
      <c r="F98" s="104"/>
      <c r="G98" s="104"/>
    </row>
    <row r="99" spans="6:7" ht="18" customHeight="1">
      <c r="F99" s="104"/>
      <c r="G99" s="104"/>
    </row>
    <row r="100" spans="6:7" ht="18" customHeight="1">
      <c r="F100" s="104"/>
      <c r="G100" s="104"/>
    </row>
    <row r="101" spans="6:7" ht="18" customHeight="1">
      <c r="F101" s="104"/>
      <c r="G101" s="104"/>
    </row>
    <row r="102" spans="6:7" ht="18" customHeight="1">
      <c r="F102" s="104"/>
      <c r="G102" s="104"/>
    </row>
    <row r="103" spans="6:7" ht="18" customHeight="1">
      <c r="F103" s="104"/>
      <c r="G103" s="104"/>
    </row>
    <row r="104" spans="6:7" ht="18" customHeight="1">
      <c r="F104" s="104"/>
      <c r="G104" s="104"/>
    </row>
    <row r="105" spans="6:7" ht="18" customHeight="1">
      <c r="F105" s="104"/>
      <c r="G105" s="104"/>
    </row>
    <row r="106" spans="6:7" ht="18" customHeight="1">
      <c r="F106" s="104"/>
      <c r="G106" s="104"/>
    </row>
    <row r="107" spans="6:7" ht="18" customHeight="1">
      <c r="F107" s="104"/>
      <c r="G107" s="104"/>
    </row>
    <row r="108" spans="6:7" ht="18" customHeight="1">
      <c r="F108" s="104"/>
      <c r="G108" s="104"/>
    </row>
    <row r="109" spans="6:7" ht="18" customHeight="1">
      <c r="F109" s="104"/>
      <c r="G109" s="104"/>
    </row>
    <row r="110" spans="6:7" ht="18" customHeight="1">
      <c r="F110" s="104"/>
      <c r="G110" s="104"/>
    </row>
    <row r="111" spans="6:7" ht="18" customHeight="1">
      <c r="F111" s="104"/>
      <c r="G111" s="104"/>
    </row>
    <row r="112" spans="6:7" ht="18" customHeight="1">
      <c r="F112" s="104"/>
      <c r="G112" s="104"/>
    </row>
    <row r="113" spans="6:7" ht="18" customHeight="1">
      <c r="F113" s="104"/>
      <c r="G113" s="104"/>
    </row>
    <row r="114" spans="6:7" ht="18" customHeight="1">
      <c r="F114" s="104"/>
      <c r="G114" s="104"/>
    </row>
    <row r="115" spans="6:7" ht="18" customHeight="1">
      <c r="F115" s="104"/>
      <c r="G115" s="104"/>
    </row>
    <row r="116" spans="6:7" ht="18" customHeight="1">
      <c r="F116" s="104"/>
      <c r="G116" s="104"/>
    </row>
    <row r="117" spans="6:7" ht="18" customHeight="1">
      <c r="F117" s="104"/>
      <c r="G117" s="104"/>
    </row>
    <row r="118" spans="6:7" ht="18" customHeight="1">
      <c r="F118" s="104"/>
      <c r="G118" s="104"/>
    </row>
    <row r="119" spans="6:7" ht="18" customHeight="1">
      <c r="F119" s="104"/>
      <c r="G119" s="104"/>
    </row>
    <row r="120" spans="6:7" ht="18" customHeight="1">
      <c r="F120" s="104"/>
      <c r="G120" s="104"/>
    </row>
    <row r="121" spans="6:7" ht="18" customHeight="1">
      <c r="F121" s="104"/>
      <c r="G121" s="104"/>
    </row>
    <row r="122" spans="6:7" ht="18" customHeight="1">
      <c r="F122" s="104"/>
      <c r="G122" s="104"/>
    </row>
    <row r="123" spans="6:7" ht="18" customHeight="1">
      <c r="F123" s="104"/>
      <c r="G123" s="104"/>
    </row>
    <row r="124" spans="6:7" ht="18" customHeight="1">
      <c r="F124" s="104"/>
      <c r="G124" s="104"/>
    </row>
    <row r="125" spans="6:7" ht="18" customHeight="1">
      <c r="F125" s="104"/>
      <c r="G125" s="104"/>
    </row>
    <row r="126" spans="6:7" ht="18" customHeight="1">
      <c r="F126" s="104"/>
      <c r="G126" s="104"/>
    </row>
    <row r="127" spans="6:7" ht="18" customHeight="1">
      <c r="F127" s="104"/>
      <c r="G127" s="104"/>
    </row>
    <row r="128" spans="6:7" ht="18" customHeight="1">
      <c r="F128" s="104"/>
      <c r="G128" s="104"/>
    </row>
    <row r="129" spans="6:7" ht="18" customHeight="1">
      <c r="F129" s="104"/>
      <c r="G129" s="104"/>
    </row>
    <row r="130" spans="6:7" ht="18" customHeight="1">
      <c r="F130" s="104"/>
      <c r="G130" s="104"/>
    </row>
    <row r="131" spans="6:7" ht="18" customHeight="1">
      <c r="F131" s="104"/>
      <c r="G131" s="104"/>
    </row>
    <row r="132" spans="6:7" ht="18" customHeight="1">
      <c r="F132" s="104"/>
      <c r="G132" s="104"/>
    </row>
    <row r="133" spans="6:7" ht="18" customHeight="1">
      <c r="F133" s="104"/>
      <c r="G133" s="104"/>
    </row>
    <row r="134" spans="6:7" ht="18" customHeight="1">
      <c r="F134" s="104"/>
      <c r="G134" s="104"/>
    </row>
    <row r="135" spans="6:7" ht="18" customHeight="1">
      <c r="F135" s="104"/>
      <c r="G135" s="104"/>
    </row>
    <row r="136" spans="6:7" ht="18" customHeight="1">
      <c r="F136" s="104"/>
      <c r="G136" s="104"/>
    </row>
    <row r="137" spans="6:7" ht="18" customHeight="1">
      <c r="F137" s="104"/>
      <c r="G137" s="104"/>
    </row>
    <row r="138" spans="6:7" ht="18" customHeight="1">
      <c r="F138" s="104"/>
      <c r="G138" s="104"/>
    </row>
    <row r="139" spans="6:7" ht="18" customHeight="1">
      <c r="F139" s="104"/>
      <c r="G139" s="104"/>
    </row>
    <row r="140" spans="6:7" ht="18" customHeight="1">
      <c r="F140" s="104"/>
      <c r="G140" s="104"/>
    </row>
    <row r="141" spans="6:7" ht="18" customHeight="1">
      <c r="F141" s="104"/>
      <c r="G141" s="104"/>
    </row>
    <row r="142" spans="6:7" ht="18" customHeight="1">
      <c r="F142" s="104"/>
      <c r="G142" s="104"/>
    </row>
    <row r="143" spans="6:7" ht="18" customHeight="1">
      <c r="F143" s="104"/>
      <c r="G143" s="104"/>
    </row>
    <row r="144" spans="6:7" ht="18" customHeight="1">
      <c r="F144" s="104"/>
      <c r="G144" s="104"/>
    </row>
    <row r="145" spans="6:7" ht="18" customHeight="1">
      <c r="F145" s="104"/>
      <c r="G145" s="104"/>
    </row>
    <row r="146" spans="6:7" ht="18" customHeight="1">
      <c r="F146" s="104"/>
      <c r="G146" s="104"/>
    </row>
    <row r="147" spans="6:7" ht="18" customHeight="1">
      <c r="F147" s="104"/>
      <c r="G147" s="104"/>
    </row>
    <row r="148" spans="6:7" ht="18" customHeight="1">
      <c r="F148" s="104"/>
      <c r="G148" s="104"/>
    </row>
    <row r="149" spans="6:7" ht="18" customHeight="1">
      <c r="F149" s="104"/>
      <c r="G149" s="104"/>
    </row>
    <row r="150" spans="6:7" ht="18" customHeight="1">
      <c r="F150" s="104"/>
      <c r="G150" s="104"/>
    </row>
    <row r="151" spans="6:7" ht="18" customHeight="1">
      <c r="F151" s="104"/>
      <c r="G151" s="104"/>
    </row>
    <row r="152" spans="6:7" ht="18" customHeight="1">
      <c r="F152" s="104"/>
      <c r="G152" s="104"/>
    </row>
    <row r="153" spans="6:7" ht="18" customHeight="1">
      <c r="F153" s="104"/>
      <c r="G153" s="104"/>
    </row>
    <row r="154" spans="6:7" ht="18" customHeight="1">
      <c r="F154" s="104"/>
      <c r="G154" s="104"/>
    </row>
    <row r="155" spans="6:7" ht="18" customHeight="1">
      <c r="F155" s="104"/>
      <c r="G155" s="104"/>
    </row>
    <row r="156" spans="6:7" ht="18" customHeight="1">
      <c r="F156" s="104"/>
      <c r="G156" s="104"/>
    </row>
    <row r="157" spans="6:7" ht="18" customHeight="1">
      <c r="F157" s="104"/>
      <c r="G157" s="104"/>
    </row>
    <row r="158" spans="6:7" ht="18" customHeight="1">
      <c r="F158" s="104"/>
      <c r="G158" s="104"/>
    </row>
    <row r="159" spans="6:7" ht="18" customHeight="1">
      <c r="F159" s="104"/>
      <c r="G159" s="104"/>
    </row>
    <row r="160" spans="6:7" ht="18" customHeight="1">
      <c r="F160" s="104"/>
      <c r="G160" s="104"/>
    </row>
    <row r="161" spans="6:7" ht="18" customHeight="1">
      <c r="F161" s="104"/>
      <c r="G161" s="104"/>
    </row>
    <row r="162" spans="6:7" ht="18" customHeight="1">
      <c r="F162" s="104"/>
      <c r="G162" s="104"/>
    </row>
    <row r="163" spans="6:7" ht="18" customHeight="1">
      <c r="F163" s="104"/>
      <c r="G163" s="104"/>
    </row>
    <row r="164" spans="6:7" ht="18" customHeight="1">
      <c r="F164" s="104"/>
      <c r="G164" s="104"/>
    </row>
    <row r="165" spans="6:7" ht="18" customHeight="1">
      <c r="F165" s="104"/>
      <c r="G165" s="104"/>
    </row>
    <row r="166" spans="6:7" ht="18" customHeight="1">
      <c r="F166" s="104"/>
      <c r="G166" s="104"/>
    </row>
    <row r="167" spans="6:7" ht="18" customHeight="1">
      <c r="F167" s="104"/>
      <c r="G167" s="104"/>
    </row>
    <row r="168" spans="6:7" ht="18" customHeight="1">
      <c r="F168" s="104"/>
      <c r="G168" s="104"/>
    </row>
    <row r="169" spans="6:7" ht="18" customHeight="1">
      <c r="F169" s="104"/>
      <c r="G169" s="104"/>
    </row>
    <row r="170" spans="6:7" ht="18" customHeight="1">
      <c r="F170" s="104"/>
      <c r="G170" s="104"/>
    </row>
    <row r="171" spans="6:7" ht="18" customHeight="1">
      <c r="F171" s="104"/>
      <c r="G171" s="104"/>
    </row>
    <row r="172" spans="6:7" ht="18" customHeight="1">
      <c r="F172" s="104"/>
      <c r="G172" s="104"/>
    </row>
    <row r="173" spans="6:7" ht="18" customHeight="1">
      <c r="F173" s="104"/>
      <c r="G173" s="104"/>
    </row>
    <row r="174" spans="6:7" ht="18" customHeight="1">
      <c r="F174" s="104"/>
      <c r="G174" s="104"/>
    </row>
    <row r="175" spans="6:7" ht="18" customHeight="1">
      <c r="F175" s="104"/>
      <c r="G175" s="104"/>
    </row>
    <row r="176" spans="6:7" ht="18" customHeight="1">
      <c r="F176" s="104"/>
      <c r="G176" s="104"/>
    </row>
    <row r="177" spans="6:7" ht="18" customHeight="1">
      <c r="F177" s="104"/>
      <c r="G177" s="104"/>
    </row>
    <row r="178" spans="6:7" ht="18" customHeight="1">
      <c r="F178" s="104"/>
      <c r="G178" s="104"/>
    </row>
    <row r="179" spans="6:7" ht="18" customHeight="1">
      <c r="F179" s="104"/>
      <c r="G179" s="104"/>
    </row>
    <row r="180" spans="6:7" ht="18" customHeight="1">
      <c r="F180" s="104"/>
      <c r="G180" s="104"/>
    </row>
    <row r="181" spans="6:7" ht="18" customHeight="1">
      <c r="F181" s="104"/>
      <c r="G181" s="104"/>
    </row>
    <row r="182" spans="6:7" ht="18" customHeight="1">
      <c r="F182" s="104"/>
      <c r="G182" s="104"/>
    </row>
    <row r="183" spans="6:7" ht="18" customHeight="1">
      <c r="F183" s="104"/>
      <c r="G183" s="104"/>
    </row>
    <row r="184" spans="6:7" ht="18" customHeight="1">
      <c r="F184" s="104"/>
      <c r="G184" s="104"/>
    </row>
    <row r="185" spans="6:7" ht="18" customHeight="1">
      <c r="F185" s="104"/>
      <c r="G185" s="104"/>
    </row>
    <row r="186" spans="6:7" ht="18" customHeight="1">
      <c r="F186" s="104"/>
      <c r="G186" s="104"/>
    </row>
    <row r="187" spans="6:7" ht="18" customHeight="1">
      <c r="F187" s="104"/>
      <c r="G187" s="104"/>
    </row>
    <row r="188" spans="6:7" ht="18" customHeight="1">
      <c r="F188" s="104"/>
      <c r="G188" s="104"/>
    </row>
    <row r="189" spans="6:7" ht="18" customHeight="1">
      <c r="F189" s="104"/>
      <c r="G189" s="104"/>
    </row>
    <row r="190" spans="6:7" ht="18" customHeight="1">
      <c r="F190" s="104"/>
      <c r="G190" s="104"/>
    </row>
    <row r="191" spans="6:7" ht="18" customHeight="1">
      <c r="F191" s="104"/>
      <c r="G191" s="104"/>
    </row>
    <row r="192" spans="6:7" ht="18" customHeight="1">
      <c r="F192" s="104"/>
      <c r="G192" s="104"/>
    </row>
    <row r="193" spans="6:7" ht="18" customHeight="1">
      <c r="F193" s="104"/>
      <c r="G193" s="104"/>
    </row>
    <row r="194" spans="6:7" ht="18" customHeight="1">
      <c r="F194" s="104"/>
      <c r="G194" s="104"/>
    </row>
    <row r="195" spans="6:7" ht="18" customHeight="1">
      <c r="F195" s="104"/>
      <c r="G195" s="104"/>
    </row>
    <row r="196" spans="6:7" ht="18" customHeight="1">
      <c r="F196" s="104"/>
      <c r="G196" s="104"/>
    </row>
    <row r="197" spans="6:7" ht="18" customHeight="1">
      <c r="F197" s="104"/>
      <c r="G197" s="104"/>
    </row>
    <row r="198" spans="6:7" ht="18" customHeight="1">
      <c r="F198" s="104"/>
      <c r="G198" s="104"/>
    </row>
    <row r="199" spans="6:7" ht="18" customHeight="1">
      <c r="F199" s="104"/>
      <c r="G199" s="104"/>
    </row>
    <row r="200" spans="6:7" ht="18" customHeight="1">
      <c r="F200" s="104"/>
      <c r="G200" s="104"/>
    </row>
    <row r="201" spans="6:7" ht="18" customHeight="1">
      <c r="F201" s="104"/>
      <c r="G201" s="104"/>
    </row>
    <row r="202" spans="6:7" ht="18" customHeight="1">
      <c r="F202" s="104"/>
      <c r="G202" s="104"/>
    </row>
    <row r="203" spans="6:7" ht="18" customHeight="1">
      <c r="F203" s="104"/>
      <c r="G203" s="104"/>
    </row>
    <row r="204" spans="6:7" ht="18" customHeight="1">
      <c r="F204" s="104"/>
      <c r="G204" s="104"/>
    </row>
    <row r="205" spans="6:7" ht="18" customHeight="1">
      <c r="F205" s="104"/>
      <c r="G205" s="104"/>
    </row>
    <row r="206" spans="6:7" ht="18" customHeight="1">
      <c r="F206" s="104"/>
      <c r="G206" s="104"/>
    </row>
    <row r="207" spans="6:7" ht="18" customHeight="1">
      <c r="F207" s="104"/>
      <c r="G207" s="104"/>
    </row>
    <row r="208" spans="6:7" ht="18" customHeight="1">
      <c r="F208" s="104"/>
      <c r="G208" s="104"/>
    </row>
    <row r="209" spans="6:7" ht="18" customHeight="1">
      <c r="F209" s="104"/>
      <c r="G209" s="104"/>
    </row>
    <row r="210" spans="6:7" ht="18" customHeight="1">
      <c r="F210" s="104"/>
      <c r="G210" s="104"/>
    </row>
    <row r="211" spans="6:7" ht="18" customHeight="1">
      <c r="F211" s="104"/>
      <c r="G211" s="104"/>
    </row>
    <row r="212" spans="6:7" ht="18" customHeight="1">
      <c r="F212" s="104"/>
      <c r="G212" s="104"/>
    </row>
    <row r="213" spans="6:7" ht="18" customHeight="1">
      <c r="F213" s="104"/>
      <c r="G213" s="104"/>
    </row>
    <row r="214" spans="6:7" ht="18" customHeight="1">
      <c r="F214" s="104"/>
      <c r="G214" s="104"/>
    </row>
    <row r="215" spans="6:7" ht="18" customHeight="1">
      <c r="F215" s="104"/>
      <c r="G215" s="104"/>
    </row>
    <row r="216" spans="6:7" ht="18" customHeight="1">
      <c r="F216" s="104"/>
      <c r="G216" s="104"/>
    </row>
    <row r="217" spans="6:7" ht="18" customHeight="1">
      <c r="F217" s="104"/>
      <c r="G217" s="104"/>
    </row>
    <row r="218" spans="6:7" ht="18" customHeight="1">
      <c r="F218" s="104"/>
      <c r="G218" s="104"/>
    </row>
    <row r="219" spans="6:7" ht="18" customHeight="1">
      <c r="F219" s="104"/>
      <c r="G219" s="104"/>
    </row>
    <row r="220" spans="6:7" ht="18" customHeight="1">
      <c r="F220" s="104"/>
      <c r="G220" s="104"/>
    </row>
    <row r="221" spans="6:7" ht="18" customHeight="1">
      <c r="F221" s="104"/>
      <c r="G221" s="104"/>
    </row>
    <row r="222" spans="6:7" ht="18" customHeight="1">
      <c r="F222" s="104"/>
      <c r="G222" s="104"/>
    </row>
    <row r="223" spans="6:7" ht="18" customHeight="1">
      <c r="F223" s="104"/>
      <c r="G223" s="104"/>
    </row>
    <row r="224" spans="6:7" ht="18" customHeight="1">
      <c r="F224" s="104"/>
      <c r="G224" s="104"/>
    </row>
    <row r="225" spans="6:7" ht="18" customHeight="1">
      <c r="F225" s="104"/>
      <c r="G225" s="104"/>
    </row>
    <row r="226" spans="6:7" ht="18" customHeight="1">
      <c r="F226" s="104"/>
      <c r="G226" s="104"/>
    </row>
    <row r="227" spans="6:7" ht="18" customHeight="1">
      <c r="F227" s="104"/>
      <c r="G227" s="104"/>
    </row>
    <row r="228" spans="6:7" ht="18" customHeight="1">
      <c r="F228" s="104"/>
      <c r="G228" s="104"/>
    </row>
    <row r="229" spans="6:7" ht="18" customHeight="1">
      <c r="F229" s="104"/>
      <c r="G229" s="104"/>
    </row>
    <row r="230" spans="6:7" ht="18" customHeight="1">
      <c r="F230" s="104"/>
      <c r="G230" s="104"/>
    </row>
    <row r="231" spans="6:7" ht="18" customHeight="1">
      <c r="F231" s="104"/>
      <c r="G231" s="104"/>
    </row>
    <row r="232" spans="6:7" ht="18" customHeight="1">
      <c r="F232" s="104"/>
      <c r="G232" s="104"/>
    </row>
    <row r="233" spans="6:7" ht="18" customHeight="1">
      <c r="F233" s="104"/>
      <c r="G233" s="104"/>
    </row>
    <row r="234" spans="6:7" ht="18" customHeight="1">
      <c r="F234" s="104"/>
      <c r="G234" s="104"/>
    </row>
    <row r="235" spans="6:7" ht="18" customHeight="1">
      <c r="F235" s="104"/>
      <c r="G235" s="104"/>
    </row>
    <row r="236" spans="6:7" ht="18" customHeight="1">
      <c r="F236" s="104"/>
      <c r="G236" s="104"/>
    </row>
    <row r="237" spans="6:7" ht="18" customHeight="1">
      <c r="F237" s="104"/>
      <c r="G237" s="104"/>
    </row>
    <row r="238" spans="6:7" ht="18" customHeight="1">
      <c r="F238" s="104"/>
      <c r="G238" s="104"/>
    </row>
    <row r="239" spans="6:7" ht="18" customHeight="1">
      <c r="F239" s="104"/>
      <c r="G239" s="104"/>
    </row>
    <row r="240" spans="6:7" ht="18" customHeight="1">
      <c r="F240" s="104"/>
      <c r="G240" s="104"/>
    </row>
    <row r="241" spans="6:7" ht="18" customHeight="1">
      <c r="F241" s="104"/>
      <c r="G241" s="104"/>
    </row>
    <row r="242" spans="6:7" ht="18" customHeight="1">
      <c r="F242" s="104"/>
      <c r="G242" s="104"/>
    </row>
    <row r="243" spans="6:7" ht="18" customHeight="1">
      <c r="F243" s="104"/>
      <c r="G243" s="104"/>
    </row>
    <row r="244" spans="6:7" ht="18" customHeight="1">
      <c r="F244" s="104"/>
      <c r="G244" s="104"/>
    </row>
    <row r="245" spans="6:7" ht="18" customHeight="1">
      <c r="F245" s="104"/>
      <c r="G245" s="104"/>
    </row>
    <row r="246" spans="6:7" ht="18" customHeight="1">
      <c r="F246" s="104"/>
      <c r="G246" s="104"/>
    </row>
    <row r="247" spans="6:7" ht="18" customHeight="1">
      <c r="F247" s="104"/>
      <c r="G247" s="104"/>
    </row>
    <row r="248" spans="6:7" ht="18" customHeight="1">
      <c r="F248" s="104"/>
      <c r="G248" s="104"/>
    </row>
    <row r="249" spans="6:7" ht="18" customHeight="1">
      <c r="F249" s="104"/>
      <c r="G249" s="104"/>
    </row>
    <row r="250" spans="6:7" ht="18" customHeight="1">
      <c r="F250" s="104"/>
      <c r="G250" s="104"/>
    </row>
    <row r="251" spans="6:7" ht="18" customHeight="1">
      <c r="F251" s="104"/>
      <c r="G251" s="104"/>
    </row>
    <row r="252" spans="6:7" ht="18" customHeight="1">
      <c r="F252" s="104"/>
      <c r="G252" s="104"/>
    </row>
    <row r="253" spans="6:7" ht="18" customHeight="1">
      <c r="F253" s="104"/>
      <c r="G253" s="104"/>
    </row>
    <row r="254" spans="6:7" ht="18" customHeight="1">
      <c r="F254" s="104"/>
      <c r="G254" s="104"/>
    </row>
    <row r="255" spans="6:7" ht="18" customHeight="1">
      <c r="F255" s="104"/>
      <c r="G255" s="104"/>
    </row>
    <row r="256" spans="6:7" ht="18" customHeight="1">
      <c r="F256" s="104"/>
      <c r="G256" s="104"/>
    </row>
    <row r="257" spans="6:7" ht="18" customHeight="1">
      <c r="F257" s="104"/>
      <c r="G257" s="104"/>
    </row>
    <row r="258" spans="6:7" ht="18" customHeight="1">
      <c r="F258" s="104"/>
      <c r="G258" s="104"/>
    </row>
    <row r="259" spans="6:7" ht="18" customHeight="1">
      <c r="F259" s="104"/>
      <c r="G259" s="104"/>
    </row>
    <row r="260" spans="6:7" ht="18" customHeight="1">
      <c r="F260" s="104"/>
      <c r="G260" s="104"/>
    </row>
    <row r="261" spans="6:7" ht="18" customHeight="1">
      <c r="F261" s="104"/>
      <c r="G261" s="104"/>
    </row>
    <row r="262" spans="6:7" ht="18" customHeight="1">
      <c r="F262" s="104"/>
      <c r="G262" s="104"/>
    </row>
    <row r="263" spans="6:7" ht="18" customHeight="1">
      <c r="F263" s="104"/>
      <c r="G263" s="104"/>
    </row>
    <row r="264" spans="6:7" ht="18" customHeight="1">
      <c r="F264" s="104"/>
      <c r="G264" s="104"/>
    </row>
    <row r="265" spans="6:7" ht="18" customHeight="1">
      <c r="F265" s="104"/>
      <c r="G265" s="104"/>
    </row>
    <row r="266" spans="6:7" ht="18" customHeight="1">
      <c r="F266" s="104"/>
      <c r="G266" s="104"/>
    </row>
    <row r="267" spans="6:7" ht="18" customHeight="1">
      <c r="F267" s="104"/>
      <c r="G267" s="104"/>
    </row>
    <row r="268" spans="6:7" ht="18" customHeight="1">
      <c r="F268" s="104"/>
      <c r="G268" s="104"/>
    </row>
    <row r="269" spans="6:7" ht="18" customHeight="1">
      <c r="F269" s="104"/>
      <c r="G269" s="104"/>
    </row>
    <row r="270" spans="6:7" ht="18" customHeight="1">
      <c r="F270" s="104"/>
      <c r="G270" s="104"/>
    </row>
    <row r="271" spans="6:7" ht="18" customHeight="1">
      <c r="F271" s="104"/>
      <c r="G271" s="104"/>
    </row>
    <row r="272" spans="6:7" ht="18" customHeight="1">
      <c r="F272" s="104"/>
      <c r="G272" s="104"/>
    </row>
    <row r="273" spans="6:7" ht="18" customHeight="1">
      <c r="F273" s="104"/>
      <c r="G273" s="104"/>
    </row>
    <row r="274" spans="6:7" ht="18" customHeight="1">
      <c r="F274" s="104"/>
      <c r="G274" s="104"/>
    </row>
    <row r="275" spans="6:7" ht="18" customHeight="1">
      <c r="F275" s="104"/>
      <c r="G275" s="104"/>
    </row>
    <row r="276" spans="6:7" ht="18" customHeight="1">
      <c r="F276" s="104"/>
      <c r="G276" s="104"/>
    </row>
    <row r="277" spans="6:7" ht="18" customHeight="1">
      <c r="F277" s="104"/>
      <c r="G277" s="104"/>
    </row>
    <row r="278" spans="6:7" ht="18" customHeight="1">
      <c r="F278" s="104"/>
      <c r="G278" s="104"/>
    </row>
    <row r="279" spans="6:7" ht="18" customHeight="1">
      <c r="F279" s="104"/>
      <c r="G279" s="104"/>
    </row>
    <row r="280" spans="6:7" ht="18" customHeight="1">
      <c r="F280" s="104"/>
      <c r="G280" s="104"/>
    </row>
    <row r="281" spans="6:7" ht="18" customHeight="1">
      <c r="F281" s="104"/>
      <c r="G281" s="104"/>
    </row>
    <row r="282" spans="6:7" ht="18" customHeight="1">
      <c r="F282" s="104"/>
      <c r="G282" s="104"/>
    </row>
    <row r="283" spans="6:7" ht="18" customHeight="1">
      <c r="F283" s="104"/>
      <c r="G283" s="104"/>
    </row>
    <row r="284" spans="6:7" ht="18" customHeight="1">
      <c r="F284" s="104"/>
      <c r="G284" s="104"/>
    </row>
    <row r="285" spans="6:7" ht="18" customHeight="1">
      <c r="F285" s="104"/>
      <c r="G285" s="104"/>
    </row>
    <row r="286" spans="6:7" ht="18" customHeight="1">
      <c r="F286" s="104"/>
      <c r="G286" s="104"/>
    </row>
    <row r="287" spans="6:7" ht="18" customHeight="1">
      <c r="F287" s="104"/>
      <c r="G287" s="104"/>
    </row>
    <row r="288" spans="6:7" ht="18" customHeight="1">
      <c r="F288" s="104"/>
      <c r="G288" s="104"/>
    </row>
    <row r="289" spans="6:7" ht="18" customHeight="1">
      <c r="F289" s="104"/>
      <c r="G289" s="104"/>
    </row>
    <row r="290" spans="6:7" ht="18" customHeight="1">
      <c r="F290" s="104"/>
      <c r="G290" s="104"/>
    </row>
    <row r="291" spans="6:7" ht="18" customHeight="1">
      <c r="F291" s="104"/>
      <c r="G291" s="104"/>
    </row>
    <row r="292" spans="6:7" ht="18" customHeight="1">
      <c r="F292" s="104"/>
      <c r="G292" s="104"/>
    </row>
    <row r="293" spans="6:7" ht="18" customHeight="1">
      <c r="F293" s="104"/>
      <c r="G293" s="104"/>
    </row>
    <row r="294" spans="6:7" ht="18" customHeight="1">
      <c r="F294" s="104"/>
      <c r="G294" s="104"/>
    </row>
    <row r="295" spans="6:7" ht="18" customHeight="1">
      <c r="F295" s="104"/>
      <c r="G295" s="104"/>
    </row>
    <row r="296" spans="6:7" ht="18" customHeight="1">
      <c r="F296" s="104"/>
      <c r="G296" s="104"/>
    </row>
    <row r="297" spans="6:7" ht="18" customHeight="1">
      <c r="F297" s="104"/>
      <c r="G297" s="104"/>
    </row>
    <row r="298" spans="6:7" ht="18" customHeight="1">
      <c r="F298" s="104"/>
      <c r="G298" s="104"/>
    </row>
    <row r="299" spans="6:7" ht="18" customHeight="1">
      <c r="F299" s="104"/>
      <c r="G299" s="104"/>
    </row>
    <row r="300" spans="6:7" ht="18" customHeight="1">
      <c r="F300" s="104"/>
      <c r="G300" s="104"/>
    </row>
    <row r="301" spans="6:7" ht="18" customHeight="1">
      <c r="F301" s="104"/>
      <c r="G301" s="104"/>
    </row>
    <row r="302" spans="6:7" ht="18" customHeight="1">
      <c r="F302" s="104"/>
      <c r="G302" s="104"/>
    </row>
    <row r="303" spans="6:7" ht="18" customHeight="1">
      <c r="F303" s="104"/>
      <c r="G303" s="104"/>
    </row>
    <row r="304" spans="6:7" ht="18" customHeight="1">
      <c r="F304" s="104"/>
      <c r="G304" s="104"/>
    </row>
    <row r="305" spans="6:7" ht="18" customHeight="1">
      <c r="F305" s="104"/>
      <c r="G305" s="104"/>
    </row>
    <row r="306" spans="6:7" ht="18" customHeight="1">
      <c r="F306" s="104"/>
      <c r="G306" s="104"/>
    </row>
    <row r="307" spans="6:7" ht="18" customHeight="1">
      <c r="F307" s="104"/>
      <c r="G307" s="104"/>
    </row>
    <row r="308" spans="6:7" ht="18" customHeight="1">
      <c r="F308" s="104"/>
      <c r="G308" s="104"/>
    </row>
    <row r="309" spans="6:7" ht="18" customHeight="1">
      <c r="F309" s="104"/>
      <c r="G309" s="104"/>
    </row>
    <row r="310" spans="6:7" ht="18" customHeight="1">
      <c r="F310" s="104"/>
      <c r="G310" s="104"/>
    </row>
    <row r="311" spans="6:7" ht="18" customHeight="1">
      <c r="F311" s="104"/>
      <c r="G311" s="104"/>
    </row>
    <row r="312" spans="6:7" ht="18" customHeight="1">
      <c r="F312" s="104"/>
      <c r="G312" s="104"/>
    </row>
    <row r="313" spans="6:7" ht="18" customHeight="1">
      <c r="F313" s="104"/>
      <c r="G313" s="104"/>
    </row>
    <row r="314" spans="6:7" ht="18" customHeight="1">
      <c r="F314" s="104"/>
      <c r="G314" s="104"/>
    </row>
    <row r="315" spans="6:7" ht="18" customHeight="1">
      <c r="F315" s="104"/>
      <c r="G315" s="104"/>
    </row>
    <row r="316" spans="6:7" ht="18" customHeight="1">
      <c r="F316" s="104"/>
      <c r="G316" s="104"/>
    </row>
    <row r="317" spans="6:7" ht="18" customHeight="1">
      <c r="F317" s="104"/>
      <c r="G317" s="104"/>
    </row>
    <row r="318" spans="6:7" ht="18" customHeight="1">
      <c r="F318" s="104"/>
      <c r="G318" s="104"/>
    </row>
    <row r="319" spans="6:7" ht="18" customHeight="1">
      <c r="F319" s="104"/>
      <c r="G319" s="104"/>
    </row>
    <row r="320" spans="6:7" ht="18" customHeight="1">
      <c r="F320" s="104"/>
      <c r="G320" s="104"/>
    </row>
    <row r="321" spans="6:7" ht="18" customHeight="1">
      <c r="F321" s="104"/>
      <c r="G321" s="104"/>
    </row>
    <row r="322" spans="6:7" ht="18" customHeight="1">
      <c r="F322" s="104"/>
      <c r="G322" s="104"/>
    </row>
    <row r="323" spans="6:7" ht="18" customHeight="1">
      <c r="F323" s="104"/>
      <c r="G323" s="104"/>
    </row>
    <row r="324" spans="6:7" ht="18" customHeight="1">
      <c r="F324" s="104"/>
      <c r="G324" s="104"/>
    </row>
    <row r="325" spans="6:7" ht="18" customHeight="1">
      <c r="F325" s="104"/>
      <c r="G325" s="104"/>
    </row>
    <row r="326" spans="6:7" ht="18" customHeight="1">
      <c r="F326" s="104"/>
      <c r="G326" s="104"/>
    </row>
    <row r="327" spans="6:7" ht="18" customHeight="1">
      <c r="F327" s="104"/>
      <c r="G327" s="104"/>
    </row>
    <row r="328" spans="6:7" ht="18" customHeight="1">
      <c r="F328" s="104"/>
      <c r="G328" s="104"/>
    </row>
    <row r="329" spans="6:7" ht="18" customHeight="1">
      <c r="F329" s="104"/>
      <c r="G329" s="104"/>
    </row>
    <row r="330" spans="6:7" ht="18" customHeight="1">
      <c r="F330" s="104"/>
      <c r="G330" s="104"/>
    </row>
    <row r="331" spans="6:7" ht="18" customHeight="1">
      <c r="F331" s="104"/>
      <c r="G331" s="104"/>
    </row>
    <row r="332" spans="6:7" ht="18" customHeight="1">
      <c r="F332" s="104"/>
      <c r="G332" s="104"/>
    </row>
    <row r="333" spans="6:7" ht="18" customHeight="1">
      <c r="F333" s="104"/>
      <c r="G333" s="104"/>
    </row>
    <row r="334" spans="6:7" ht="18" customHeight="1">
      <c r="F334" s="104"/>
      <c r="G334" s="104"/>
    </row>
    <row r="335" spans="6:7" ht="18" customHeight="1">
      <c r="F335" s="104"/>
      <c r="G335" s="104"/>
    </row>
    <row r="336" spans="6:7" ht="18" customHeight="1">
      <c r="F336" s="104"/>
      <c r="G336" s="104"/>
    </row>
    <row r="337" spans="6:7" ht="18" customHeight="1">
      <c r="F337" s="104"/>
      <c r="G337" s="104"/>
    </row>
    <row r="338" spans="6:7" ht="18" customHeight="1">
      <c r="F338" s="104"/>
      <c r="G338" s="104"/>
    </row>
    <row r="339" spans="6:7" ht="18" customHeight="1">
      <c r="F339" s="104"/>
      <c r="G339" s="104"/>
    </row>
    <row r="340" spans="6:7" ht="18" customHeight="1">
      <c r="F340" s="104"/>
      <c r="G340" s="104"/>
    </row>
    <row r="341" spans="6:7" ht="18" customHeight="1">
      <c r="F341" s="104"/>
      <c r="G341" s="104"/>
    </row>
    <row r="342" spans="6:7" ht="18" customHeight="1">
      <c r="F342" s="104"/>
      <c r="G342" s="104"/>
    </row>
    <row r="343" spans="6:7" ht="18" customHeight="1">
      <c r="F343" s="104"/>
      <c r="G343" s="104"/>
    </row>
    <row r="344" spans="6:7" ht="18" customHeight="1">
      <c r="F344" s="104"/>
      <c r="G344" s="104"/>
    </row>
    <row r="345" spans="6:7" ht="18" customHeight="1">
      <c r="F345" s="104"/>
      <c r="G345" s="104"/>
    </row>
    <row r="346" spans="6:7" ht="18" customHeight="1">
      <c r="F346" s="104"/>
      <c r="G346" s="104"/>
    </row>
    <row r="347" spans="6:7" ht="18" customHeight="1">
      <c r="F347" s="104"/>
      <c r="G347" s="104"/>
    </row>
    <row r="348" spans="6:7" ht="18" customHeight="1">
      <c r="F348" s="104"/>
      <c r="G348" s="104"/>
    </row>
    <row r="349" spans="6:7" ht="18" customHeight="1">
      <c r="F349" s="104"/>
      <c r="G349" s="104"/>
    </row>
    <row r="350" spans="6:7" ht="18" customHeight="1">
      <c r="F350" s="104"/>
      <c r="G350" s="104"/>
    </row>
    <row r="351" spans="6:7" ht="18" customHeight="1">
      <c r="F351" s="104"/>
      <c r="G351" s="104"/>
    </row>
    <row r="352" spans="6:7" ht="18" customHeight="1">
      <c r="F352" s="104"/>
      <c r="G352" s="104"/>
    </row>
    <row r="353" spans="6:7" ht="18" customHeight="1">
      <c r="F353" s="104"/>
      <c r="G353" s="104"/>
    </row>
    <row r="354" spans="6:7" ht="18" customHeight="1">
      <c r="F354" s="104"/>
      <c r="G354" s="104"/>
    </row>
    <row r="355" spans="6:7" ht="18" customHeight="1">
      <c r="F355" s="104"/>
      <c r="G355" s="104"/>
    </row>
    <row r="356" spans="6:7" ht="18" customHeight="1">
      <c r="F356" s="104"/>
      <c r="G356" s="104"/>
    </row>
    <row r="357" spans="6:7" ht="18" customHeight="1">
      <c r="F357" s="104"/>
      <c r="G357" s="104"/>
    </row>
    <row r="358" spans="6:7" ht="18" customHeight="1">
      <c r="F358" s="104"/>
      <c r="G358" s="104"/>
    </row>
    <row r="359" spans="6:7" ht="18" customHeight="1">
      <c r="F359" s="104"/>
      <c r="G359" s="104"/>
    </row>
    <row r="360" spans="6:7" ht="18" customHeight="1">
      <c r="F360" s="104"/>
      <c r="G360" s="104"/>
    </row>
    <row r="361" spans="6:7" ht="18" customHeight="1">
      <c r="F361" s="104"/>
      <c r="G361" s="104"/>
    </row>
    <row r="362" spans="6:7" ht="18" customHeight="1">
      <c r="F362" s="104"/>
      <c r="G362" s="104"/>
    </row>
    <row r="363" spans="6:7" ht="18" customHeight="1">
      <c r="F363" s="104"/>
      <c r="G363" s="104"/>
    </row>
    <row r="364" spans="6:7" ht="18" customHeight="1">
      <c r="F364" s="104"/>
      <c r="G364" s="104"/>
    </row>
    <row r="365" spans="6:7" ht="18" customHeight="1">
      <c r="F365" s="104"/>
      <c r="G365" s="104"/>
    </row>
    <row r="366" spans="6:7" ht="18" customHeight="1">
      <c r="F366" s="104"/>
      <c r="G366" s="104"/>
    </row>
    <row r="367" spans="6:7" ht="18" customHeight="1">
      <c r="F367" s="104"/>
      <c r="G367" s="104"/>
    </row>
    <row r="368" spans="6:7" ht="18" customHeight="1">
      <c r="F368" s="104"/>
      <c r="G368" s="104"/>
    </row>
    <row r="369" spans="6:7" ht="18" customHeight="1">
      <c r="F369" s="104"/>
      <c r="G369" s="104"/>
    </row>
    <row r="370" spans="6:7" ht="18" customHeight="1">
      <c r="F370" s="104"/>
      <c r="G370" s="104"/>
    </row>
    <row r="371" spans="6:7" ht="18" customHeight="1">
      <c r="F371" s="104"/>
      <c r="G371" s="104"/>
    </row>
    <row r="372" spans="6:7" ht="18" customHeight="1">
      <c r="F372" s="104"/>
      <c r="G372" s="104"/>
    </row>
    <row r="373" spans="6:7" ht="18" customHeight="1">
      <c r="F373" s="104"/>
      <c r="G373" s="104"/>
    </row>
    <row r="374" spans="6:7" ht="18" customHeight="1">
      <c r="F374" s="104"/>
      <c r="G374" s="104"/>
    </row>
    <row r="375" spans="6:7" ht="18" customHeight="1">
      <c r="F375" s="104"/>
      <c r="G375" s="104"/>
    </row>
    <row r="376" spans="6:7" ht="18" customHeight="1">
      <c r="F376" s="104"/>
      <c r="G376" s="104"/>
    </row>
    <row r="377" spans="6:7" ht="18" customHeight="1">
      <c r="F377" s="104"/>
      <c r="G377" s="104"/>
    </row>
    <row r="378" spans="6:7" ht="18" customHeight="1">
      <c r="F378" s="104"/>
      <c r="G378" s="104"/>
    </row>
    <row r="379" spans="6:7" ht="18" customHeight="1">
      <c r="F379" s="104"/>
      <c r="G379" s="104"/>
    </row>
    <row r="380" spans="6:7" ht="18" customHeight="1">
      <c r="F380" s="104"/>
      <c r="G380" s="104"/>
    </row>
    <row r="381" spans="6:7" ht="18" customHeight="1">
      <c r="F381" s="104"/>
      <c r="G381" s="104"/>
    </row>
    <row r="382" spans="6:7" ht="18" customHeight="1">
      <c r="F382" s="104"/>
      <c r="G382" s="104"/>
    </row>
    <row r="383" spans="6:7" ht="18" customHeight="1">
      <c r="F383" s="104"/>
      <c r="G383" s="104"/>
    </row>
    <row r="384" spans="6:7" ht="18" customHeight="1">
      <c r="F384" s="104"/>
      <c r="G384" s="104"/>
    </row>
    <row r="385" spans="6:7" ht="18" customHeight="1">
      <c r="F385" s="104"/>
      <c r="G385" s="104"/>
    </row>
    <row r="386" spans="6:7" ht="18" customHeight="1">
      <c r="F386" s="104"/>
      <c r="G386" s="104"/>
    </row>
    <row r="387" spans="6:7" ht="18" customHeight="1">
      <c r="F387" s="104"/>
      <c r="G387" s="104"/>
    </row>
    <row r="388" spans="6:7" ht="18" customHeight="1">
      <c r="F388" s="104"/>
      <c r="G388" s="104"/>
    </row>
    <row r="389" spans="6:7" ht="18" customHeight="1">
      <c r="F389" s="104"/>
      <c r="G389" s="104"/>
    </row>
    <row r="390" spans="6:7" ht="18" customHeight="1">
      <c r="F390" s="104"/>
      <c r="G390" s="104"/>
    </row>
    <row r="391" spans="6:7" ht="18" customHeight="1">
      <c r="F391" s="104"/>
      <c r="G391" s="104"/>
    </row>
    <row r="392" spans="6:7" ht="18" customHeight="1">
      <c r="F392" s="104"/>
      <c r="G392" s="104"/>
    </row>
    <row r="393" spans="6:7" ht="18" customHeight="1">
      <c r="F393" s="104"/>
      <c r="G393" s="104"/>
    </row>
    <row r="394" spans="6:7" ht="18" customHeight="1">
      <c r="F394" s="104"/>
      <c r="G394" s="104"/>
    </row>
    <row r="395" spans="6:7" ht="18" customHeight="1">
      <c r="F395" s="104"/>
      <c r="G395" s="104"/>
    </row>
    <row r="396" spans="6:7" ht="18" customHeight="1">
      <c r="F396" s="104"/>
      <c r="G396" s="104"/>
    </row>
    <row r="397" spans="6:7" ht="18" customHeight="1">
      <c r="F397" s="104"/>
      <c r="G397" s="104"/>
    </row>
    <row r="398" spans="6:7" ht="18" customHeight="1">
      <c r="F398" s="104"/>
      <c r="G398" s="104"/>
    </row>
    <row r="399" spans="6:7" ht="18" customHeight="1">
      <c r="F399" s="104"/>
      <c r="G399" s="104"/>
    </row>
    <row r="400" spans="6:7" ht="18" customHeight="1">
      <c r="F400" s="104"/>
      <c r="G400" s="104"/>
    </row>
    <row r="401" spans="6:7" ht="18" customHeight="1">
      <c r="F401" s="104"/>
      <c r="G401" s="104"/>
    </row>
    <row r="402" spans="6:7" ht="18" customHeight="1">
      <c r="F402" s="104"/>
      <c r="G402" s="104"/>
    </row>
    <row r="403" spans="6:7" ht="18" customHeight="1">
      <c r="F403" s="104"/>
      <c r="G403" s="104"/>
    </row>
    <row r="404" spans="6:7" ht="18" customHeight="1">
      <c r="F404" s="104"/>
      <c r="G404" s="104"/>
    </row>
    <row r="405" spans="6:7" ht="18" customHeight="1">
      <c r="F405" s="104"/>
      <c r="G405" s="104"/>
    </row>
    <row r="406" spans="6:7" ht="18" customHeight="1">
      <c r="F406" s="104"/>
      <c r="G406" s="104"/>
    </row>
    <row r="407" spans="6:7" ht="18" customHeight="1">
      <c r="F407" s="104"/>
      <c r="G407" s="104"/>
    </row>
    <row r="408" spans="6:7" ht="18" customHeight="1">
      <c r="F408" s="104"/>
      <c r="G408" s="104"/>
    </row>
    <row r="409" spans="6:7" ht="18" customHeight="1">
      <c r="F409" s="104"/>
      <c r="G409" s="104"/>
    </row>
    <row r="410" spans="6:7" ht="18" customHeight="1">
      <c r="F410" s="104"/>
      <c r="G410" s="104"/>
    </row>
    <row r="411" spans="6:7" ht="18" customHeight="1">
      <c r="F411" s="104"/>
      <c r="G411" s="104"/>
    </row>
    <row r="412" spans="6:7" ht="18" customHeight="1">
      <c r="F412" s="104"/>
      <c r="G412" s="104"/>
    </row>
    <row r="413" spans="6:7" ht="18" customHeight="1">
      <c r="F413" s="104"/>
      <c r="G413" s="104"/>
    </row>
    <row r="414" spans="6:7" ht="18" customHeight="1">
      <c r="F414" s="104"/>
      <c r="G414" s="104"/>
    </row>
    <row r="415" spans="6:7" ht="18" customHeight="1">
      <c r="F415" s="104"/>
      <c r="G415" s="104"/>
    </row>
    <row r="416" spans="6:7" ht="18" customHeight="1">
      <c r="F416" s="104"/>
      <c r="G416" s="104"/>
    </row>
    <row r="417" spans="6:7" ht="18" customHeight="1">
      <c r="F417" s="104"/>
      <c r="G417" s="104"/>
    </row>
    <row r="418" spans="6:7" ht="18" customHeight="1">
      <c r="F418" s="104"/>
      <c r="G418" s="104"/>
    </row>
    <row r="419" spans="6:7" ht="18" customHeight="1">
      <c r="F419" s="104"/>
      <c r="G419" s="104"/>
    </row>
    <row r="420" spans="6:7" ht="18" customHeight="1">
      <c r="F420" s="104"/>
      <c r="G420" s="104"/>
    </row>
    <row r="421" spans="6:7" ht="18" customHeight="1">
      <c r="F421" s="104"/>
      <c r="G421" s="104"/>
    </row>
    <row r="422" spans="6:7" ht="18" customHeight="1">
      <c r="F422" s="104"/>
      <c r="G422" s="104"/>
    </row>
    <row r="423" spans="6:7" ht="18" customHeight="1">
      <c r="F423" s="104"/>
      <c r="G423" s="104"/>
    </row>
    <row r="424" spans="6:7" ht="18" customHeight="1">
      <c r="F424" s="104"/>
      <c r="G424" s="104"/>
    </row>
    <row r="425" spans="6:7" ht="18" customHeight="1">
      <c r="F425" s="104"/>
      <c r="G425" s="104"/>
    </row>
    <row r="426" spans="6:7" ht="18" customHeight="1">
      <c r="F426" s="104"/>
      <c r="G426" s="104"/>
    </row>
    <row r="427" spans="6:7" ht="18" customHeight="1">
      <c r="F427" s="104"/>
      <c r="G427" s="104"/>
    </row>
    <row r="428" spans="6:7" ht="18" customHeight="1">
      <c r="F428" s="104"/>
      <c r="G428" s="104"/>
    </row>
    <row r="429" spans="6:7" ht="18" customHeight="1">
      <c r="F429" s="104"/>
      <c r="G429" s="104"/>
    </row>
    <row r="430" spans="6:7" ht="18" customHeight="1">
      <c r="F430" s="104"/>
      <c r="G430" s="104"/>
    </row>
    <row r="431" spans="6:7" ht="18" customHeight="1">
      <c r="F431" s="104"/>
      <c r="G431" s="104"/>
    </row>
    <row r="432" spans="6:7" ht="18" customHeight="1">
      <c r="F432" s="104"/>
      <c r="G432" s="104"/>
    </row>
    <row r="433" spans="6:7" ht="18" customHeight="1">
      <c r="F433" s="104"/>
      <c r="G433" s="104"/>
    </row>
    <row r="434" spans="6:7" ht="18" customHeight="1">
      <c r="F434" s="104"/>
      <c r="G434" s="104"/>
    </row>
    <row r="435" spans="6:7" ht="18" customHeight="1">
      <c r="F435" s="104"/>
      <c r="G435" s="104"/>
    </row>
    <row r="436" spans="6:7" ht="18" customHeight="1">
      <c r="F436" s="104"/>
      <c r="G436" s="104"/>
    </row>
    <row r="437" spans="6:7" ht="18" customHeight="1">
      <c r="F437" s="104"/>
      <c r="G437" s="104"/>
    </row>
    <row r="438" spans="6:7" ht="18" customHeight="1">
      <c r="F438" s="104"/>
      <c r="G438" s="104"/>
    </row>
    <row r="439" spans="6:7" ht="18" customHeight="1">
      <c r="F439" s="104"/>
      <c r="G439" s="104"/>
    </row>
    <row r="440" spans="6:7" ht="18" customHeight="1">
      <c r="F440" s="104"/>
      <c r="G440" s="104"/>
    </row>
    <row r="441" spans="6:7" ht="18" customHeight="1">
      <c r="F441" s="104"/>
      <c r="G441" s="104"/>
    </row>
    <row r="442" spans="6:7" ht="18" customHeight="1">
      <c r="F442" s="104"/>
      <c r="G442" s="104"/>
    </row>
    <row r="443" spans="6:7" ht="18" customHeight="1">
      <c r="F443" s="104"/>
      <c r="G443" s="104"/>
    </row>
    <row r="444" spans="6:7" ht="18" customHeight="1">
      <c r="F444" s="104"/>
      <c r="G444" s="104"/>
    </row>
    <row r="445" spans="6:7" ht="18" customHeight="1">
      <c r="F445" s="104"/>
      <c r="G445" s="104"/>
    </row>
    <row r="446" spans="6:7" ht="18" customHeight="1">
      <c r="F446" s="104"/>
      <c r="G446" s="104"/>
    </row>
    <row r="447" spans="6:7" ht="18" customHeight="1">
      <c r="F447" s="104"/>
      <c r="G447" s="104"/>
    </row>
    <row r="448" spans="6:7" ht="18" customHeight="1">
      <c r="F448" s="104"/>
      <c r="G448" s="104"/>
    </row>
    <row r="449" spans="6:7" ht="18" customHeight="1">
      <c r="F449" s="104"/>
      <c r="G449" s="104"/>
    </row>
    <row r="450" spans="6:7" ht="18" customHeight="1">
      <c r="F450" s="104"/>
      <c r="G450" s="104"/>
    </row>
    <row r="451" spans="6:7" ht="18" customHeight="1">
      <c r="F451" s="104"/>
      <c r="G451" s="104"/>
    </row>
    <row r="452" spans="6:7" ht="18" customHeight="1">
      <c r="F452" s="104"/>
      <c r="G452" s="104"/>
    </row>
    <row r="453" spans="6:7" ht="18" customHeight="1">
      <c r="F453" s="104"/>
      <c r="G453" s="104"/>
    </row>
    <row r="454" spans="6:7" ht="18" customHeight="1">
      <c r="F454" s="104"/>
      <c r="G454" s="104"/>
    </row>
    <row r="455" spans="6:7" ht="18" customHeight="1">
      <c r="F455" s="104"/>
      <c r="G455" s="104"/>
    </row>
    <row r="456" spans="6:7" ht="18" customHeight="1">
      <c r="F456" s="104"/>
      <c r="G456" s="104"/>
    </row>
    <row r="457" spans="6:7" ht="18" customHeight="1">
      <c r="F457" s="104"/>
      <c r="G457" s="104"/>
    </row>
    <row r="458" spans="6:7" ht="18" customHeight="1">
      <c r="F458" s="104"/>
      <c r="G458" s="104"/>
    </row>
    <row r="459" spans="6:7" ht="18" customHeight="1">
      <c r="F459" s="104"/>
      <c r="G459" s="104"/>
    </row>
    <row r="460" spans="6:7" ht="18" customHeight="1">
      <c r="F460" s="104"/>
      <c r="G460" s="104"/>
    </row>
    <row r="461" spans="6:7" ht="18" customHeight="1">
      <c r="F461" s="104"/>
      <c r="G461" s="104"/>
    </row>
    <row r="462" spans="6:7" ht="18" customHeight="1">
      <c r="F462" s="104"/>
      <c r="G462" s="104"/>
    </row>
    <row r="463" spans="6:7" ht="18" customHeight="1">
      <c r="F463" s="104"/>
      <c r="G463" s="104"/>
    </row>
    <row r="464" spans="6:7" ht="18" customHeight="1">
      <c r="F464" s="104"/>
      <c r="G464" s="104"/>
    </row>
    <row r="465" spans="6:7" ht="18" customHeight="1">
      <c r="F465" s="104"/>
      <c r="G465" s="104"/>
    </row>
    <row r="466" spans="6:7" ht="18" customHeight="1">
      <c r="F466" s="104"/>
      <c r="G466" s="104"/>
    </row>
    <row r="467" spans="6:7" ht="18" customHeight="1">
      <c r="F467" s="104"/>
      <c r="G467" s="104"/>
    </row>
    <row r="468" spans="6:7" ht="18" customHeight="1">
      <c r="F468" s="104"/>
      <c r="G468" s="104"/>
    </row>
    <row r="469" spans="6:7" ht="18" customHeight="1">
      <c r="F469" s="104"/>
      <c r="G469" s="104"/>
    </row>
    <row r="470" spans="6:7" ht="18" customHeight="1">
      <c r="F470" s="104"/>
      <c r="G470" s="104"/>
    </row>
    <row r="471" spans="6:7" ht="18" customHeight="1">
      <c r="F471" s="104"/>
      <c r="G471" s="104"/>
    </row>
    <row r="472" spans="6:7" ht="18" customHeight="1">
      <c r="F472" s="104"/>
      <c r="G472" s="104"/>
    </row>
    <row r="473" spans="6:7" ht="18" customHeight="1">
      <c r="F473" s="104"/>
      <c r="G473" s="104"/>
    </row>
    <row r="474" spans="6:7" ht="18" customHeight="1">
      <c r="F474" s="104"/>
      <c r="G474" s="104"/>
    </row>
    <row r="475" spans="6:7" ht="18" customHeight="1">
      <c r="F475" s="104"/>
      <c r="G475" s="104"/>
    </row>
    <row r="476" spans="6:7" ht="18" customHeight="1">
      <c r="F476" s="104"/>
      <c r="G476" s="104"/>
    </row>
    <row r="477" spans="6:7" ht="18" customHeight="1">
      <c r="F477" s="104"/>
      <c r="G477" s="104"/>
    </row>
    <row r="478" spans="6:7" ht="18" customHeight="1">
      <c r="F478" s="104"/>
      <c r="G478" s="104"/>
    </row>
  </sheetData>
  <printOptions/>
  <pageMargins left="0.38" right="0.17" top="1.19" bottom="0.94" header="0.41" footer="0.5511811023622047"/>
  <pageSetup firstPageNumber="13" useFirstPageNumber="1" horizontalDpi="360" verticalDpi="360" orientation="portrait" paperSize="9" scale="94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8" customHeight="1"/>
  <cols>
    <col min="1" max="1" width="5.875" style="91" customWidth="1"/>
    <col min="2" max="2" width="41.875" style="23" customWidth="1"/>
    <col min="3" max="4" width="12.75390625" style="24" bestFit="1" customWidth="1"/>
    <col min="5" max="5" width="12.875" style="24" bestFit="1" customWidth="1"/>
    <col min="6" max="6" width="10.00390625" style="92" bestFit="1" customWidth="1"/>
    <col min="7" max="7" width="10.75390625" style="92" customWidth="1"/>
    <col min="8" max="8" width="11.125" style="22" bestFit="1" customWidth="1"/>
    <col min="9" max="16384" width="9.125" style="22" customWidth="1"/>
  </cols>
  <sheetData>
    <row r="1" spans="1:7" ht="18" customHeight="1">
      <c r="A1" s="27" t="s">
        <v>252</v>
      </c>
      <c r="B1" s="28" t="s">
        <v>43</v>
      </c>
      <c r="C1" s="117" t="s">
        <v>357</v>
      </c>
      <c r="D1" s="117" t="s">
        <v>344</v>
      </c>
      <c r="E1" s="1" t="s">
        <v>248</v>
      </c>
      <c r="F1" s="1" t="s">
        <v>46</v>
      </c>
      <c r="G1" s="1" t="s">
        <v>46</v>
      </c>
    </row>
    <row r="2" spans="1:7" ht="18" customHeight="1" thickBot="1">
      <c r="A2" s="29" t="s">
        <v>174</v>
      </c>
      <c r="B2" s="30"/>
      <c r="C2" s="33">
        <v>2004</v>
      </c>
      <c r="D2" s="33">
        <v>2004</v>
      </c>
      <c r="E2" s="119">
        <v>38168</v>
      </c>
      <c r="F2" s="7" t="s">
        <v>346</v>
      </c>
      <c r="G2" s="7" t="s">
        <v>355</v>
      </c>
    </row>
    <row r="3" spans="1:7" ht="18" customHeight="1">
      <c r="A3" s="93"/>
      <c r="B3" s="94"/>
      <c r="C3" s="95"/>
      <c r="D3" s="95"/>
      <c r="E3" s="95"/>
      <c r="F3" s="10"/>
      <c r="G3" s="10"/>
    </row>
    <row r="4" spans="1:7" ht="18" customHeight="1">
      <c r="A4" s="8" t="s">
        <v>84</v>
      </c>
      <c r="B4" s="14" t="s">
        <v>253</v>
      </c>
      <c r="C4" s="74">
        <v>30000000</v>
      </c>
      <c r="D4" s="74">
        <v>30000000</v>
      </c>
      <c r="E4" s="74">
        <v>6665350</v>
      </c>
      <c r="F4" s="18">
        <f>IF(C4=0,"-",$E4/C4*100)</f>
        <v>22.217833333333335</v>
      </c>
      <c r="G4" s="18">
        <f>IF(D4=0,"-",$E4/D4*100)</f>
        <v>22.217833333333335</v>
      </c>
    </row>
    <row r="5" spans="1:7" ht="18" customHeight="1">
      <c r="A5" s="8" t="s">
        <v>83</v>
      </c>
      <c r="B5" s="14" t="s">
        <v>26</v>
      </c>
      <c r="C5" s="74">
        <v>12000000</v>
      </c>
      <c r="D5" s="74">
        <v>12000000</v>
      </c>
      <c r="E5" s="74">
        <v>3471297</v>
      </c>
      <c r="F5" s="18">
        <f aca="true" t="shared" si="0" ref="F5:F27">IF(C5=0,"-",$E5/C5*100)</f>
        <v>28.927475</v>
      </c>
      <c r="G5" s="18">
        <f aca="true" t="shared" si="1" ref="G5:G27">IF(D5=0,"-",$E5/D5*100)</f>
        <v>28.927475</v>
      </c>
    </row>
    <row r="6" spans="1:7" ht="18" customHeight="1">
      <c r="A6" s="8" t="s">
        <v>82</v>
      </c>
      <c r="B6" s="14" t="s">
        <v>21</v>
      </c>
      <c r="C6" s="74">
        <f>49600000+6000000</f>
        <v>55600000</v>
      </c>
      <c r="D6" s="74">
        <f>49600000+6000000</f>
        <v>55600000</v>
      </c>
      <c r="E6" s="74">
        <v>23903545</v>
      </c>
      <c r="F6" s="18">
        <f t="shared" si="0"/>
        <v>42.99198741007194</v>
      </c>
      <c r="G6" s="18">
        <f t="shared" si="1"/>
        <v>42.99198741007194</v>
      </c>
    </row>
    <row r="7" spans="1:7" ht="18" customHeight="1">
      <c r="A7" s="8" t="s">
        <v>81</v>
      </c>
      <c r="B7" s="14" t="s">
        <v>20</v>
      </c>
      <c r="C7" s="74">
        <v>8000000</v>
      </c>
      <c r="D7" s="74">
        <v>8000000</v>
      </c>
      <c r="E7" s="74">
        <v>3001410</v>
      </c>
      <c r="F7" s="18">
        <f t="shared" si="0"/>
        <v>37.517624999999995</v>
      </c>
      <c r="G7" s="18">
        <f t="shared" si="1"/>
        <v>37.517624999999995</v>
      </c>
    </row>
    <row r="8" spans="1:8" ht="18" customHeight="1">
      <c r="A8" s="8" t="s">
        <v>69</v>
      </c>
      <c r="B8" s="14" t="s">
        <v>254</v>
      </c>
      <c r="C8" s="74">
        <v>9000000</v>
      </c>
      <c r="D8" s="74">
        <v>9000000</v>
      </c>
      <c r="E8" s="74">
        <v>3822028</v>
      </c>
      <c r="F8" s="18">
        <f t="shared" si="0"/>
        <v>42.46697777777778</v>
      </c>
      <c r="G8" s="18">
        <f t="shared" si="1"/>
        <v>42.46697777777778</v>
      </c>
      <c r="H8" s="31">
        <f>SUM(E8:E10)+E31</f>
        <v>73585563</v>
      </c>
    </row>
    <row r="9" spans="1:8" ht="18" customHeight="1">
      <c r="A9" s="8" t="s">
        <v>69</v>
      </c>
      <c r="B9" s="14" t="s">
        <v>330</v>
      </c>
      <c r="C9" s="74">
        <v>5000000</v>
      </c>
      <c r="D9" s="74">
        <v>5000000</v>
      </c>
      <c r="E9" s="74">
        <v>1913535</v>
      </c>
      <c r="F9" s="18">
        <f t="shared" si="0"/>
        <v>38.270700000000005</v>
      </c>
      <c r="G9" s="18">
        <f t="shared" si="1"/>
        <v>38.270700000000005</v>
      </c>
      <c r="H9" s="31">
        <f>SUM(E8:E10)</f>
        <v>26085563</v>
      </c>
    </row>
    <row r="10" spans="1:7" ht="18" customHeight="1">
      <c r="A10" s="8" t="s">
        <v>69</v>
      </c>
      <c r="B10" s="14" t="s">
        <v>245</v>
      </c>
      <c r="C10" s="74">
        <v>40700000</v>
      </c>
      <c r="D10" s="74">
        <v>40700000</v>
      </c>
      <c r="E10" s="74">
        <v>20350000</v>
      </c>
      <c r="F10" s="18">
        <f t="shared" si="0"/>
        <v>50</v>
      </c>
      <c r="G10" s="18">
        <f t="shared" si="1"/>
        <v>50</v>
      </c>
    </row>
    <row r="11" spans="1:7" ht="18" customHeight="1">
      <c r="A11" s="8" t="s">
        <v>80</v>
      </c>
      <c r="B11" s="14" t="s">
        <v>198</v>
      </c>
      <c r="C11" s="74">
        <f>170000000+15000000-5000000</f>
        <v>180000000</v>
      </c>
      <c r="D11" s="74">
        <f>170000000+15000000-5000000</f>
        <v>180000000</v>
      </c>
      <c r="E11" s="74">
        <v>121250050</v>
      </c>
      <c r="F11" s="18">
        <f t="shared" si="0"/>
        <v>67.36113888888889</v>
      </c>
      <c r="G11" s="18">
        <f t="shared" si="1"/>
        <v>67.36113888888889</v>
      </c>
    </row>
    <row r="12" spans="1:7" ht="18" customHeight="1">
      <c r="A12" s="8" t="s">
        <v>79</v>
      </c>
      <c r="B12" s="14" t="s">
        <v>19</v>
      </c>
      <c r="C12" s="74">
        <v>70000000</v>
      </c>
      <c r="D12" s="74">
        <v>70000000</v>
      </c>
      <c r="E12" s="74">
        <v>34158607</v>
      </c>
      <c r="F12" s="18">
        <f t="shared" si="0"/>
        <v>48.798010000000005</v>
      </c>
      <c r="G12" s="18">
        <f t="shared" si="1"/>
        <v>48.798010000000005</v>
      </c>
    </row>
    <row r="13" spans="1:8" ht="18" customHeight="1">
      <c r="A13" s="8" t="s">
        <v>78</v>
      </c>
      <c r="B13" s="14" t="s">
        <v>199</v>
      </c>
      <c r="C13" s="74">
        <v>133000000</v>
      </c>
      <c r="D13" s="74">
        <f>133000000+29000000</f>
        <v>162000000</v>
      </c>
      <c r="E13" s="74">
        <v>13850427</v>
      </c>
      <c r="F13" s="18">
        <f t="shared" si="0"/>
        <v>10.413854887218045</v>
      </c>
      <c r="G13" s="18">
        <f t="shared" si="1"/>
        <v>8.549646296296297</v>
      </c>
      <c r="H13" s="31"/>
    </row>
    <row r="14" spans="1:8" ht="18" customHeight="1">
      <c r="A14" s="8" t="s">
        <v>77</v>
      </c>
      <c r="B14" s="14" t="s">
        <v>200</v>
      </c>
      <c r="C14" s="74">
        <v>19000000</v>
      </c>
      <c r="D14" s="74">
        <v>19000000</v>
      </c>
      <c r="E14" s="74">
        <v>672331</v>
      </c>
      <c r="F14" s="18">
        <f t="shared" si="0"/>
        <v>3.538584210526316</v>
      </c>
      <c r="G14" s="18">
        <f t="shared" si="1"/>
        <v>3.538584210526316</v>
      </c>
      <c r="H14" s="31"/>
    </row>
    <row r="15" spans="1:8" ht="18" customHeight="1">
      <c r="A15" s="8" t="s">
        <v>76</v>
      </c>
      <c r="B15" s="14" t="s">
        <v>255</v>
      </c>
      <c r="C15" s="74">
        <v>566500000</v>
      </c>
      <c r="D15" s="74">
        <f>558500000+5000000+3000000+29000000</f>
        <v>595500000</v>
      </c>
      <c r="E15" s="74">
        <v>55475536</v>
      </c>
      <c r="F15" s="18">
        <f t="shared" si="0"/>
        <v>9.792680670785526</v>
      </c>
      <c r="G15" s="18">
        <f t="shared" si="1"/>
        <v>9.315791099916037</v>
      </c>
      <c r="H15" s="31"/>
    </row>
    <row r="16" spans="1:7" ht="18" customHeight="1">
      <c r="A16" s="8" t="s">
        <v>75</v>
      </c>
      <c r="B16" s="14" t="s">
        <v>201</v>
      </c>
      <c r="C16" s="74">
        <v>93000000</v>
      </c>
      <c r="D16" s="74">
        <f>96000000-3000000+2500000</f>
        <v>95500000</v>
      </c>
      <c r="E16" s="74">
        <v>45248963</v>
      </c>
      <c r="F16" s="18">
        <f t="shared" si="0"/>
        <v>48.65479892473118</v>
      </c>
      <c r="G16" s="18">
        <f t="shared" si="1"/>
        <v>47.38111308900523</v>
      </c>
    </row>
    <row r="17" spans="1:8" ht="18" customHeight="1">
      <c r="A17" s="8" t="s">
        <v>74</v>
      </c>
      <c r="B17" s="14" t="s">
        <v>202</v>
      </c>
      <c r="C17" s="74">
        <f>15000000-1000000</f>
        <v>14000000</v>
      </c>
      <c r="D17" s="74">
        <f>15000000-1000000</f>
        <v>14000000</v>
      </c>
      <c r="E17" s="74"/>
      <c r="F17" s="18">
        <f t="shared" si="0"/>
        <v>0</v>
      </c>
      <c r="G17" s="18">
        <f t="shared" si="1"/>
        <v>0</v>
      </c>
      <c r="H17" s="31">
        <f>SUM(E17:E18)</f>
        <v>12757902</v>
      </c>
    </row>
    <row r="18" spans="1:7" ht="18" customHeight="1">
      <c r="A18" s="8" t="s">
        <v>74</v>
      </c>
      <c r="B18" s="14" t="s">
        <v>276</v>
      </c>
      <c r="C18" s="74">
        <v>56000000</v>
      </c>
      <c r="D18" s="74">
        <f>56000000+7000000</f>
        <v>63000000</v>
      </c>
      <c r="E18" s="74">
        <v>12757902</v>
      </c>
      <c r="F18" s="18">
        <f t="shared" si="0"/>
        <v>22.781967857142856</v>
      </c>
      <c r="G18" s="18">
        <f t="shared" si="1"/>
        <v>20.250638095238095</v>
      </c>
    </row>
    <row r="19" spans="1:7" ht="18" customHeight="1">
      <c r="A19" s="8" t="s">
        <v>73</v>
      </c>
      <c r="B19" s="14" t="s">
        <v>154</v>
      </c>
      <c r="C19" s="74">
        <v>135500000</v>
      </c>
      <c r="D19" s="74">
        <f>71000000+70000000-5500000+50000000+10000000</f>
        <v>195500000</v>
      </c>
      <c r="E19" s="74">
        <v>127581442</v>
      </c>
      <c r="F19" s="18">
        <f t="shared" si="0"/>
        <v>94.15604575645756</v>
      </c>
      <c r="G19" s="18">
        <f t="shared" si="1"/>
        <v>65.25904961636829</v>
      </c>
    </row>
    <row r="20" spans="1:7" ht="18" customHeight="1">
      <c r="A20" s="8" t="s">
        <v>72</v>
      </c>
      <c r="B20" s="14" t="s">
        <v>256</v>
      </c>
      <c r="C20" s="74">
        <v>150000000</v>
      </c>
      <c r="D20" s="74">
        <f>150000000-100000000</f>
        <v>50000000</v>
      </c>
      <c r="E20" s="74"/>
      <c r="F20" s="18">
        <f t="shared" si="0"/>
        <v>0</v>
      </c>
      <c r="G20" s="18">
        <f t="shared" si="1"/>
        <v>0</v>
      </c>
    </row>
    <row r="21" spans="1:7" ht="18" customHeight="1">
      <c r="A21" s="8" t="s">
        <v>72</v>
      </c>
      <c r="B21" s="14" t="s">
        <v>310</v>
      </c>
      <c r="C21" s="74">
        <v>43000000</v>
      </c>
      <c r="D21" s="74">
        <v>43000000</v>
      </c>
      <c r="E21" s="74">
        <v>3655224</v>
      </c>
      <c r="F21" s="18">
        <f t="shared" si="0"/>
        <v>8.500520930232558</v>
      </c>
      <c r="G21" s="18">
        <f t="shared" si="1"/>
        <v>8.500520930232558</v>
      </c>
    </row>
    <row r="22" spans="1:7" ht="18" customHeight="1">
      <c r="A22" s="8" t="s">
        <v>71</v>
      </c>
      <c r="B22" s="14" t="s">
        <v>257</v>
      </c>
      <c r="C22" s="74">
        <v>58000000</v>
      </c>
      <c r="D22" s="74">
        <v>58000000</v>
      </c>
      <c r="E22" s="74">
        <v>19902264</v>
      </c>
      <c r="F22" s="18">
        <f t="shared" si="0"/>
        <v>34.31424827586207</v>
      </c>
      <c r="G22" s="18">
        <f t="shared" si="1"/>
        <v>34.31424827586207</v>
      </c>
    </row>
    <row r="23" spans="1:7" ht="18" customHeight="1">
      <c r="A23" s="8" t="s">
        <v>70</v>
      </c>
      <c r="B23" s="14" t="s">
        <v>302</v>
      </c>
      <c r="C23" s="74">
        <v>97000000</v>
      </c>
      <c r="D23" s="74">
        <v>97000000</v>
      </c>
      <c r="E23" s="74">
        <v>14967657</v>
      </c>
      <c r="F23" s="18">
        <f t="shared" si="0"/>
        <v>15.430574226804122</v>
      </c>
      <c r="G23" s="18">
        <f t="shared" si="1"/>
        <v>15.430574226804122</v>
      </c>
    </row>
    <row r="24" spans="1:7" ht="18" customHeight="1">
      <c r="A24" s="8" t="s">
        <v>68</v>
      </c>
      <c r="B24" s="14" t="s">
        <v>258</v>
      </c>
      <c r="C24" s="74">
        <v>510000000</v>
      </c>
      <c r="D24" s="74">
        <f>512000000-2000000-86000000</f>
        <v>424000000</v>
      </c>
      <c r="E24" s="74">
        <v>13520195</v>
      </c>
      <c r="F24" s="18">
        <f t="shared" si="0"/>
        <v>2.6510186274509806</v>
      </c>
      <c r="G24" s="18">
        <f t="shared" si="1"/>
        <v>3.188725235849057</v>
      </c>
    </row>
    <row r="25" spans="1:7" ht="18" customHeight="1">
      <c r="A25" s="8" t="s">
        <v>67</v>
      </c>
      <c r="B25" s="14" t="s">
        <v>259</v>
      </c>
      <c r="C25" s="74">
        <v>222000000</v>
      </c>
      <c r="D25" s="74">
        <f>223000000-1000000+61000000-500000</f>
        <v>282500000</v>
      </c>
      <c r="E25" s="74">
        <v>46084023</v>
      </c>
      <c r="F25" s="18">
        <f t="shared" si="0"/>
        <v>20.758568918918918</v>
      </c>
      <c r="G25" s="18">
        <f t="shared" si="1"/>
        <v>16.31292849557522</v>
      </c>
    </row>
    <row r="26" spans="1:7" ht="18" customHeight="1">
      <c r="A26" s="8" t="s">
        <v>66</v>
      </c>
      <c r="B26" s="14" t="s">
        <v>203</v>
      </c>
      <c r="C26" s="74">
        <v>30000000</v>
      </c>
      <c r="D26" s="74">
        <v>30000000</v>
      </c>
      <c r="E26" s="74">
        <v>96000</v>
      </c>
      <c r="F26" s="18">
        <f t="shared" si="0"/>
        <v>0.32</v>
      </c>
      <c r="G26" s="18">
        <f t="shared" si="1"/>
        <v>0.32</v>
      </c>
    </row>
    <row r="27" spans="1:7" ht="18" customHeight="1">
      <c r="A27" s="8" t="s">
        <v>65</v>
      </c>
      <c r="B27" s="14" t="s">
        <v>25</v>
      </c>
      <c r="C27" s="74">
        <f>88000000+10000000-2000000-2500000</f>
        <v>93500000</v>
      </c>
      <c r="D27" s="74">
        <f>88000000+10000000-2000000-2500000</f>
        <v>93500000</v>
      </c>
      <c r="E27" s="74">
        <v>59379657</v>
      </c>
      <c r="F27" s="18">
        <f t="shared" si="0"/>
        <v>63.50765454545455</v>
      </c>
      <c r="G27" s="18">
        <f t="shared" si="1"/>
        <v>63.50765454545455</v>
      </c>
    </row>
    <row r="28" spans="1:7" ht="18" customHeight="1">
      <c r="A28" s="8"/>
      <c r="B28" s="14"/>
      <c r="C28" s="74"/>
      <c r="D28" s="74"/>
      <c r="E28" s="74"/>
      <c r="F28" s="18"/>
      <c r="G28" s="18"/>
    </row>
    <row r="29" spans="1:7" ht="18" customHeight="1" thickBot="1">
      <c r="A29" s="75"/>
      <c r="B29" s="34" t="s">
        <v>190</v>
      </c>
      <c r="C29" s="35">
        <f>SUM(C4:C28)</f>
        <v>2630800000</v>
      </c>
      <c r="D29" s="35">
        <f>SUM(D4:D28)</f>
        <v>2632800000</v>
      </c>
      <c r="E29" s="35">
        <f>SUM(E4:E28)</f>
        <v>631727443</v>
      </c>
      <c r="F29" s="123">
        <f>IF(C29=0,"-",$E29/C29*100)</f>
        <v>24.01275060818002</v>
      </c>
      <c r="G29" s="123">
        <f>IF(D29=0,"-",$E29/D29*100)</f>
        <v>23.994509381646917</v>
      </c>
    </row>
    <row r="30" spans="1:7" ht="18" customHeight="1">
      <c r="A30" s="89"/>
      <c r="B30" s="53" t="s">
        <v>42</v>
      </c>
      <c r="C30" s="126"/>
      <c r="D30" s="125"/>
      <c r="E30" s="126"/>
      <c r="F30" s="18"/>
      <c r="G30" s="18"/>
    </row>
    <row r="31" spans="1:7" ht="18" customHeight="1" thickBot="1">
      <c r="A31" s="75" t="s">
        <v>69</v>
      </c>
      <c r="B31" s="127" t="s">
        <v>312</v>
      </c>
      <c r="C31" s="19">
        <v>95000000</v>
      </c>
      <c r="D31" s="121">
        <v>95000000</v>
      </c>
      <c r="E31" s="19">
        <v>47500000</v>
      </c>
      <c r="F31" s="20">
        <f>IF(C31=0,"-",$E31/C31*100)</f>
        <v>50</v>
      </c>
      <c r="G31" s="20">
        <f>IF(D31=0,"-",$E31/D31*100)</f>
        <v>50</v>
      </c>
    </row>
    <row r="32" spans="1:7" ht="18" customHeight="1" thickBot="1">
      <c r="A32" s="75"/>
      <c r="B32" s="128" t="s">
        <v>190</v>
      </c>
      <c r="C32" s="35">
        <f>SUM(C29:C31)</f>
        <v>2725800000</v>
      </c>
      <c r="D32" s="122">
        <f>SUM(D29:D31)</f>
        <v>2727800000</v>
      </c>
      <c r="E32" s="35">
        <f>SUM(E29:E31)</f>
        <v>679227443</v>
      </c>
      <c r="F32" s="123">
        <f>IF(C32=0,"-",$E32/C32*100)</f>
        <v>24.918462212928315</v>
      </c>
      <c r="G32" s="123">
        <f>IF(D32=0,"-",$E32/D32*100)</f>
        <v>24.900192206173475</v>
      </c>
    </row>
  </sheetData>
  <printOptions/>
  <pageMargins left="0.29" right="0.17" top="1.19" bottom="0.65" header="0.41" footer="0.25"/>
  <pageSetup firstPageNumber="14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8" customHeight="1"/>
  <cols>
    <col min="1" max="1" width="7.375" style="91" customWidth="1"/>
    <col min="2" max="2" width="38.75390625" style="23" customWidth="1"/>
    <col min="3" max="4" width="11.125" style="80" bestFit="1" customWidth="1"/>
    <col min="5" max="5" width="12.875" style="80" bestFit="1" customWidth="1"/>
    <col min="6" max="6" width="10.00390625" style="10" bestFit="1" customWidth="1"/>
    <col min="7" max="7" width="11.25390625" style="10" bestFit="1" customWidth="1"/>
    <col min="8" max="16384" width="9.125" style="22" customWidth="1"/>
  </cols>
  <sheetData>
    <row r="1" spans="1:7" ht="18" customHeight="1">
      <c r="A1" s="27" t="s">
        <v>29</v>
      </c>
      <c r="B1" s="28" t="s">
        <v>43</v>
      </c>
      <c r="C1" s="98" t="s">
        <v>357</v>
      </c>
      <c r="D1" s="98" t="s">
        <v>344</v>
      </c>
      <c r="E1" s="98" t="s">
        <v>248</v>
      </c>
      <c r="F1" s="1" t="s">
        <v>46</v>
      </c>
      <c r="G1" s="1" t="s">
        <v>46</v>
      </c>
    </row>
    <row r="2" spans="1:7" ht="18" customHeight="1" thickBot="1">
      <c r="A2" s="29" t="s">
        <v>174</v>
      </c>
      <c r="B2" s="30"/>
      <c r="C2" s="87">
        <v>2004</v>
      </c>
      <c r="D2" s="87">
        <v>2004</v>
      </c>
      <c r="E2" s="116">
        <v>38168</v>
      </c>
      <c r="F2" s="7" t="s">
        <v>346</v>
      </c>
      <c r="G2" s="7" t="s">
        <v>355</v>
      </c>
    </row>
    <row r="3" spans="1:5" ht="18" customHeight="1">
      <c r="A3" s="93"/>
      <c r="B3" s="94"/>
      <c r="C3" s="95"/>
      <c r="D3" s="95"/>
      <c r="E3" s="95"/>
    </row>
    <row r="4" spans="1:7" ht="18" customHeight="1">
      <c r="A4" s="8" t="s">
        <v>87</v>
      </c>
      <c r="B4" s="14" t="s">
        <v>297</v>
      </c>
      <c r="C4" s="74">
        <v>45000000</v>
      </c>
      <c r="D4" s="74">
        <f>45000000+8000000</f>
        <v>53000000</v>
      </c>
      <c r="E4" s="74">
        <v>8003503</v>
      </c>
      <c r="F4" s="17">
        <f aca="true" t="shared" si="0" ref="F4:G7">IF(C4=0,"-",$E4/C4*100)</f>
        <v>17.78556222222222</v>
      </c>
      <c r="G4" s="17">
        <f t="shared" si="0"/>
        <v>15.100949056603774</v>
      </c>
    </row>
    <row r="5" spans="1:7" ht="18" customHeight="1">
      <c r="A5" s="8" t="s">
        <v>86</v>
      </c>
      <c r="B5" s="14" t="s">
        <v>298</v>
      </c>
      <c r="C5" s="74">
        <v>75000000</v>
      </c>
      <c r="D5" s="74">
        <v>75000000</v>
      </c>
      <c r="E5" s="74"/>
      <c r="F5" s="17">
        <f t="shared" si="0"/>
        <v>0</v>
      </c>
      <c r="G5" s="17">
        <f t="shared" si="0"/>
        <v>0</v>
      </c>
    </row>
    <row r="6" spans="1:7" ht="18" customHeight="1">
      <c r="A6" s="8" t="s">
        <v>85</v>
      </c>
      <c r="B6" s="14" t="s">
        <v>299</v>
      </c>
      <c r="C6" s="74">
        <v>7000000</v>
      </c>
      <c r="D6" s="74">
        <v>7000000</v>
      </c>
      <c r="E6" s="74">
        <v>1017186</v>
      </c>
      <c r="F6" s="17">
        <f t="shared" si="0"/>
        <v>14.531228571428572</v>
      </c>
      <c r="G6" s="17">
        <f t="shared" si="0"/>
        <v>14.531228571428572</v>
      </c>
    </row>
    <row r="7" spans="1:7" ht="18" customHeight="1">
      <c r="A7" s="8" t="s">
        <v>160</v>
      </c>
      <c r="B7" s="14" t="s">
        <v>300</v>
      </c>
      <c r="C7" s="96">
        <v>15000000</v>
      </c>
      <c r="D7" s="96">
        <f>15000000+7500000</f>
        <v>22500000</v>
      </c>
      <c r="E7" s="96">
        <v>1519994</v>
      </c>
      <c r="F7" s="17">
        <f t="shared" si="0"/>
        <v>10.133293333333333</v>
      </c>
      <c r="G7" s="17">
        <f t="shared" si="0"/>
        <v>6.755528888888889</v>
      </c>
    </row>
    <row r="8" spans="1:7" ht="18" customHeight="1">
      <c r="A8" s="8"/>
      <c r="B8" s="14"/>
      <c r="C8" s="96"/>
      <c r="D8" s="96"/>
      <c r="E8" s="96"/>
      <c r="F8" s="17"/>
      <c r="G8" s="17"/>
    </row>
    <row r="9" spans="1:7" ht="18" customHeight="1" thickBot="1">
      <c r="A9" s="75"/>
      <c r="B9" s="34" t="s">
        <v>190</v>
      </c>
      <c r="C9" s="35">
        <f>SUM(C4:C8)</f>
        <v>142000000</v>
      </c>
      <c r="D9" s="35">
        <f>SUM(D4:D8)</f>
        <v>157500000</v>
      </c>
      <c r="E9" s="35">
        <f>SUM(E4:E8)</f>
        <v>10540683</v>
      </c>
      <c r="F9" s="36">
        <f>IF(C9=0,"-",$E9/C9*100)</f>
        <v>7.423016197183098</v>
      </c>
      <c r="G9" s="36">
        <f>IF(D9=0,"-",$E9/D9*100)</f>
        <v>6.6924971428571425</v>
      </c>
    </row>
    <row r="10" spans="3:7" ht="18" customHeight="1">
      <c r="C10" s="111"/>
      <c r="D10" s="111"/>
      <c r="E10" s="111"/>
      <c r="F10" s="92"/>
      <c r="G10" s="92"/>
    </row>
    <row r="11" spans="3:7" ht="18" customHeight="1">
      <c r="C11" s="97"/>
      <c r="D11" s="97"/>
      <c r="E11" s="97"/>
      <c r="F11" s="92"/>
      <c r="G11" s="92"/>
    </row>
    <row r="12" spans="6:7" ht="18" customHeight="1">
      <c r="F12" s="92"/>
      <c r="G12" s="92"/>
    </row>
    <row r="13" spans="6:7" ht="18" customHeight="1">
      <c r="F13" s="92"/>
      <c r="G13" s="92"/>
    </row>
    <row r="14" spans="6:7" ht="18" customHeight="1">
      <c r="F14" s="92"/>
      <c r="G14" s="92"/>
    </row>
    <row r="15" spans="6:7" ht="18" customHeight="1">
      <c r="F15" s="92"/>
      <c r="G15" s="92"/>
    </row>
    <row r="16" spans="6:7" ht="18" customHeight="1">
      <c r="F16" s="92"/>
      <c r="G16" s="92"/>
    </row>
    <row r="17" spans="6:7" ht="18" customHeight="1">
      <c r="F17" s="92"/>
      <c r="G17" s="92"/>
    </row>
    <row r="18" spans="6:7" ht="18" customHeight="1">
      <c r="F18" s="92"/>
      <c r="G18" s="92"/>
    </row>
    <row r="19" spans="6:7" ht="18" customHeight="1">
      <c r="F19" s="92"/>
      <c r="G19" s="92"/>
    </row>
    <row r="20" spans="6:7" ht="18" customHeight="1">
      <c r="F20" s="92"/>
      <c r="G20" s="92"/>
    </row>
    <row r="21" spans="6:7" ht="18" customHeight="1">
      <c r="F21" s="92"/>
      <c r="G21" s="92"/>
    </row>
    <row r="22" spans="6:7" ht="18" customHeight="1">
      <c r="F22" s="92"/>
      <c r="G22" s="92"/>
    </row>
    <row r="23" spans="6:7" ht="18" customHeight="1">
      <c r="F23" s="92"/>
      <c r="G23" s="92"/>
    </row>
    <row r="24" spans="6:7" ht="18" customHeight="1">
      <c r="F24" s="92"/>
      <c r="G24" s="92"/>
    </row>
    <row r="25" spans="6:7" ht="18" customHeight="1">
      <c r="F25" s="92"/>
      <c r="G25" s="92"/>
    </row>
    <row r="26" spans="6:7" ht="18" customHeight="1">
      <c r="F26" s="92"/>
      <c r="G26" s="92"/>
    </row>
    <row r="27" spans="6:7" ht="18" customHeight="1">
      <c r="F27" s="92"/>
      <c r="G27" s="92"/>
    </row>
    <row r="28" spans="6:7" ht="18" customHeight="1">
      <c r="F28" s="92"/>
      <c r="G28" s="92"/>
    </row>
    <row r="29" spans="6:7" ht="18" customHeight="1">
      <c r="F29" s="92"/>
      <c r="G29" s="92"/>
    </row>
    <row r="30" spans="6:7" ht="18" customHeight="1">
      <c r="F30" s="92"/>
      <c r="G30" s="92"/>
    </row>
    <row r="31" spans="6:7" ht="18" customHeight="1">
      <c r="F31" s="92"/>
      <c r="G31" s="92"/>
    </row>
  </sheetData>
  <printOptions/>
  <pageMargins left="0.38" right="0.17" top="1.19" bottom="0.99" header="0.38" footer="0.5511811023622047"/>
  <pageSetup firstPageNumber="15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pane xSplit="2" ySplit="2" topLeftCell="C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C3" sqref="C3"/>
    </sheetView>
  </sheetViews>
  <sheetFormatPr defaultColWidth="9.00390625" defaultRowHeight="18" customHeight="1"/>
  <cols>
    <col min="1" max="1" width="7.125" style="91" customWidth="1"/>
    <col min="2" max="2" width="46.875" style="23" customWidth="1"/>
    <col min="3" max="4" width="11.125" style="80" bestFit="1" customWidth="1"/>
    <col min="5" max="5" width="12.875" style="80" bestFit="1" customWidth="1"/>
    <col min="6" max="6" width="10.00390625" style="92" bestFit="1" customWidth="1"/>
    <col min="7" max="7" width="10.75390625" style="92" customWidth="1"/>
    <col min="8" max="8" width="11.125" style="22" bestFit="1" customWidth="1"/>
    <col min="9" max="16384" width="9.125" style="22" customWidth="1"/>
  </cols>
  <sheetData>
    <row r="1" spans="1:7" ht="18" customHeight="1">
      <c r="A1" s="27" t="s">
        <v>29</v>
      </c>
      <c r="B1" s="28" t="s">
        <v>43</v>
      </c>
      <c r="C1" s="1" t="s">
        <v>357</v>
      </c>
      <c r="D1" s="1" t="s">
        <v>344</v>
      </c>
      <c r="E1" s="98" t="s">
        <v>248</v>
      </c>
      <c r="F1" s="1" t="s">
        <v>46</v>
      </c>
      <c r="G1" s="1" t="s">
        <v>46</v>
      </c>
    </row>
    <row r="2" spans="1:7" ht="18" customHeight="1" thickBot="1">
      <c r="A2" s="29" t="s">
        <v>174</v>
      </c>
      <c r="B2" s="30"/>
      <c r="C2" s="87">
        <v>2004</v>
      </c>
      <c r="D2" s="87">
        <v>2004</v>
      </c>
      <c r="E2" s="116">
        <v>38168</v>
      </c>
      <c r="F2" s="7" t="s">
        <v>346</v>
      </c>
      <c r="G2" s="7" t="s">
        <v>355</v>
      </c>
    </row>
    <row r="3" spans="1:8" ht="18" customHeight="1">
      <c r="A3" s="8" t="s">
        <v>95</v>
      </c>
      <c r="B3" s="14" t="s">
        <v>336</v>
      </c>
      <c r="C3" s="74">
        <v>4000000</v>
      </c>
      <c r="D3" s="74">
        <f>6000000</f>
        <v>6000000</v>
      </c>
      <c r="E3" s="74">
        <v>669772</v>
      </c>
      <c r="F3" s="17">
        <f>IF(C3=0,"-",$E3/C3*100)</f>
        <v>16.744300000000003</v>
      </c>
      <c r="G3" s="17">
        <f>IF(D3=0,"-",$E3/D3*100)</f>
        <v>11.162866666666666</v>
      </c>
      <c r="H3" s="31">
        <f>SUM(E3:E5)</f>
        <v>4528588</v>
      </c>
    </row>
    <row r="4" spans="1:8" ht="18" customHeight="1">
      <c r="A4" s="8" t="s">
        <v>95</v>
      </c>
      <c r="B4" s="14" t="s">
        <v>356</v>
      </c>
      <c r="C4" s="74">
        <v>107000000</v>
      </c>
      <c r="D4" s="74">
        <f>107000000-7000000-2000000</f>
        <v>98000000</v>
      </c>
      <c r="E4" s="74">
        <v>3503616</v>
      </c>
      <c r="F4" s="17">
        <f>IF(C4=0,"-",$E4/C4*100)</f>
        <v>3.274407476635514</v>
      </c>
      <c r="G4" s="17">
        <f>IF(D4=0,"-",$E4/D4*100)</f>
        <v>3.575118367346939</v>
      </c>
      <c r="H4" s="31"/>
    </row>
    <row r="5" spans="1:7" ht="18" customHeight="1">
      <c r="A5" s="8" t="s">
        <v>95</v>
      </c>
      <c r="B5" s="14" t="s">
        <v>205</v>
      </c>
      <c r="C5" s="74">
        <v>2000000</v>
      </c>
      <c r="D5" s="74">
        <f>2000000+2000000</f>
        <v>4000000</v>
      </c>
      <c r="E5" s="74">
        <v>355200</v>
      </c>
      <c r="F5" s="17">
        <f aca="true" t="shared" si="0" ref="F5:F31">IF(C5=0,"-",$E5/C5*100)</f>
        <v>17.76</v>
      </c>
      <c r="G5" s="17">
        <f aca="true" t="shared" si="1" ref="G5:G31">IF(D5=0,"-",$E5/D5*100)</f>
        <v>8.88</v>
      </c>
    </row>
    <row r="6" spans="1:8" ht="18" customHeight="1">
      <c r="A6" s="8" t="s">
        <v>94</v>
      </c>
      <c r="B6" s="14" t="s">
        <v>206</v>
      </c>
      <c r="C6" s="74">
        <v>17000000</v>
      </c>
      <c r="D6" s="74">
        <v>17000000</v>
      </c>
      <c r="E6" s="74">
        <v>2453874</v>
      </c>
      <c r="F6" s="17">
        <f t="shared" si="0"/>
        <v>14.43455294117647</v>
      </c>
      <c r="G6" s="17">
        <f t="shared" si="1"/>
        <v>14.43455294117647</v>
      </c>
      <c r="H6" s="31">
        <f>SUM(E6:E7)</f>
        <v>3123090</v>
      </c>
    </row>
    <row r="7" spans="1:7" ht="18" customHeight="1">
      <c r="A7" s="8" t="s">
        <v>94</v>
      </c>
      <c r="B7" s="14" t="s">
        <v>207</v>
      </c>
      <c r="C7" s="74">
        <v>3000000</v>
      </c>
      <c r="D7" s="74">
        <v>3000000</v>
      </c>
      <c r="E7" s="74">
        <v>669216</v>
      </c>
      <c r="F7" s="17">
        <f t="shared" si="0"/>
        <v>22.307199999999998</v>
      </c>
      <c r="G7" s="17">
        <f t="shared" si="1"/>
        <v>22.307199999999998</v>
      </c>
    </row>
    <row r="8" spans="1:7" ht="18" customHeight="1">
      <c r="A8" s="8" t="s">
        <v>93</v>
      </c>
      <c r="B8" s="14" t="s">
        <v>289</v>
      </c>
      <c r="C8" s="74">
        <v>10000000</v>
      </c>
      <c r="D8" s="74">
        <v>10000000</v>
      </c>
      <c r="E8" s="74">
        <v>744000</v>
      </c>
      <c r="F8" s="17">
        <f t="shared" si="0"/>
        <v>7.4399999999999995</v>
      </c>
      <c r="G8" s="17">
        <f t="shared" si="1"/>
        <v>7.4399999999999995</v>
      </c>
    </row>
    <row r="9" spans="1:7" ht="18" customHeight="1">
      <c r="A9" s="8" t="s">
        <v>92</v>
      </c>
      <c r="B9" s="14" t="s">
        <v>208</v>
      </c>
      <c r="C9" s="74">
        <v>20000000</v>
      </c>
      <c r="D9" s="74">
        <f>20000000+7000000</f>
        <v>27000000</v>
      </c>
      <c r="E9" s="74">
        <v>10000001</v>
      </c>
      <c r="F9" s="17">
        <f t="shared" si="0"/>
        <v>50.000005</v>
      </c>
      <c r="G9" s="17">
        <f t="shared" si="1"/>
        <v>37.03704074074074</v>
      </c>
    </row>
    <row r="10" spans="1:7" ht="18" customHeight="1">
      <c r="A10" s="8" t="s">
        <v>91</v>
      </c>
      <c r="B10" s="14" t="s">
        <v>209</v>
      </c>
      <c r="C10" s="74">
        <v>3000000</v>
      </c>
      <c r="D10" s="74">
        <v>3000000</v>
      </c>
      <c r="E10" s="74">
        <v>2900000</v>
      </c>
      <c r="F10" s="17">
        <f t="shared" si="0"/>
        <v>96.66666666666667</v>
      </c>
      <c r="G10" s="17">
        <f t="shared" si="1"/>
        <v>96.66666666666667</v>
      </c>
    </row>
    <row r="11" spans="1:8" ht="18" customHeight="1">
      <c r="A11" s="8" t="s">
        <v>90</v>
      </c>
      <c r="B11" s="14" t="s">
        <v>242</v>
      </c>
      <c r="C11" s="74">
        <v>13000000</v>
      </c>
      <c r="D11" s="74">
        <f>10000000+3000000-2000000</f>
        <v>11000000</v>
      </c>
      <c r="E11" s="74">
        <v>10373948</v>
      </c>
      <c r="F11" s="17">
        <f t="shared" si="0"/>
        <v>79.7996</v>
      </c>
      <c r="G11" s="17">
        <f t="shared" si="1"/>
        <v>94.30861818181818</v>
      </c>
      <c r="H11" s="31">
        <f>SUM(E11:E12)</f>
        <v>10517948</v>
      </c>
    </row>
    <row r="12" spans="1:7" ht="18" customHeight="1">
      <c r="A12" s="8" t="s">
        <v>90</v>
      </c>
      <c r="B12" s="14" t="s">
        <v>305</v>
      </c>
      <c r="C12" s="74">
        <v>3500000</v>
      </c>
      <c r="D12" s="74">
        <v>3500000</v>
      </c>
      <c r="E12" s="74">
        <v>144000</v>
      </c>
      <c r="F12" s="17">
        <f t="shared" si="0"/>
        <v>4.114285714285714</v>
      </c>
      <c r="G12" s="17">
        <f t="shared" si="1"/>
        <v>4.114285714285714</v>
      </c>
    </row>
    <row r="13" spans="1:7" ht="18" customHeight="1">
      <c r="A13" s="8" t="s">
        <v>88</v>
      </c>
      <c r="B13" s="14" t="s">
        <v>311</v>
      </c>
      <c r="C13" s="74">
        <v>3000000</v>
      </c>
      <c r="D13" s="74">
        <v>3000000</v>
      </c>
      <c r="E13" s="74"/>
      <c r="F13" s="17">
        <f t="shared" si="0"/>
        <v>0</v>
      </c>
      <c r="G13" s="17">
        <f t="shared" si="1"/>
        <v>0</v>
      </c>
    </row>
    <row r="14" spans="1:7" ht="18" customHeight="1">
      <c r="A14" s="8" t="s">
        <v>89</v>
      </c>
      <c r="B14" s="14" t="s">
        <v>193</v>
      </c>
      <c r="C14" s="74">
        <v>4000000</v>
      </c>
      <c r="D14" s="74">
        <v>4000000</v>
      </c>
      <c r="E14" s="74">
        <v>1291201</v>
      </c>
      <c r="F14" s="17">
        <f t="shared" si="0"/>
        <v>32.280025</v>
      </c>
      <c r="G14" s="17">
        <f t="shared" si="1"/>
        <v>32.280025</v>
      </c>
    </row>
    <row r="15" spans="1:8" ht="18" customHeight="1">
      <c r="A15" s="8" t="s">
        <v>133</v>
      </c>
      <c r="B15" s="14" t="s">
        <v>237</v>
      </c>
      <c r="C15" s="74">
        <f>8000000+6000000</f>
        <v>14000000</v>
      </c>
      <c r="D15" s="74">
        <f>8000000+6000000</f>
        <v>14000000</v>
      </c>
      <c r="E15" s="74">
        <v>6887991</v>
      </c>
      <c r="F15" s="17">
        <f t="shared" si="0"/>
        <v>49.199935714285715</v>
      </c>
      <c r="G15" s="17">
        <f t="shared" si="1"/>
        <v>49.199935714285715</v>
      </c>
      <c r="H15" s="31">
        <f>SUM(E15:E15)</f>
        <v>6887991</v>
      </c>
    </row>
    <row r="16" spans="1:7" ht="18" customHeight="1">
      <c r="A16" s="8" t="s">
        <v>134</v>
      </c>
      <c r="B16" s="14" t="s">
        <v>286</v>
      </c>
      <c r="C16" s="74">
        <v>10000000</v>
      </c>
      <c r="D16" s="74">
        <v>10000000</v>
      </c>
      <c r="E16" s="74">
        <v>3890445</v>
      </c>
      <c r="F16" s="17">
        <f t="shared" si="0"/>
        <v>38.904450000000004</v>
      </c>
      <c r="G16" s="17">
        <f t="shared" si="1"/>
        <v>38.904450000000004</v>
      </c>
    </row>
    <row r="17" spans="1:8" ht="18" customHeight="1">
      <c r="A17" s="8" t="s">
        <v>135</v>
      </c>
      <c r="B17" s="14" t="s">
        <v>282</v>
      </c>
      <c r="C17" s="74">
        <v>7000000</v>
      </c>
      <c r="D17" s="74">
        <v>7000000</v>
      </c>
      <c r="E17" s="74">
        <v>2500000</v>
      </c>
      <c r="F17" s="17">
        <f t="shared" si="0"/>
        <v>35.714285714285715</v>
      </c>
      <c r="G17" s="17">
        <f t="shared" si="1"/>
        <v>35.714285714285715</v>
      </c>
      <c r="H17" s="31">
        <f>SUM(E17:E19)</f>
        <v>19122364</v>
      </c>
    </row>
    <row r="18" spans="1:8" ht="18" customHeight="1">
      <c r="A18" s="8" t="s">
        <v>135</v>
      </c>
      <c r="B18" s="14" t="s">
        <v>294</v>
      </c>
      <c r="C18" s="74">
        <v>29340000</v>
      </c>
      <c r="D18" s="74">
        <v>29340000</v>
      </c>
      <c r="E18" s="74">
        <v>13796364</v>
      </c>
      <c r="F18" s="17">
        <f t="shared" si="0"/>
        <v>47.02237218813906</v>
      </c>
      <c r="G18" s="17">
        <f t="shared" si="1"/>
        <v>47.02237218813906</v>
      </c>
      <c r="H18" s="31"/>
    </row>
    <row r="19" spans="1:8" ht="18" customHeight="1">
      <c r="A19" s="8" t="s">
        <v>135</v>
      </c>
      <c r="B19" s="14" t="s">
        <v>329</v>
      </c>
      <c r="C19" s="74">
        <v>40000000</v>
      </c>
      <c r="D19" s="74">
        <v>40000000</v>
      </c>
      <c r="E19" s="74">
        <v>2826000</v>
      </c>
      <c r="F19" s="17">
        <f t="shared" si="0"/>
        <v>7.065</v>
      </c>
      <c r="G19" s="17">
        <f t="shared" si="1"/>
        <v>7.065</v>
      </c>
      <c r="H19" s="31"/>
    </row>
    <row r="20" spans="1:7" ht="18" customHeight="1">
      <c r="A20" s="8" t="s">
        <v>139</v>
      </c>
      <c r="B20" s="14" t="s">
        <v>283</v>
      </c>
      <c r="C20" s="74">
        <v>5000000</v>
      </c>
      <c r="D20" s="74">
        <f>5000000+1000000</f>
        <v>6000000</v>
      </c>
      <c r="E20" s="74"/>
      <c r="F20" s="17">
        <f t="shared" si="0"/>
        <v>0</v>
      </c>
      <c r="G20" s="17">
        <f t="shared" si="1"/>
        <v>0</v>
      </c>
    </row>
    <row r="21" spans="1:7" ht="18" customHeight="1">
      <c r="A21" s="8" t="s">
        <v>140</v>
      </c>
      <c r="B21" s="14" t="s">
        <v>210</v>
      </c>
      <c r="C21" s="74">
        <v>2000000</v>
      </c>
      <c r="D21" s="74">
        <v>2000000</v>
      </c>
      <c r="E21" s="74">
        <v>1176174</v>
      </c>
      <c r="F21" s="17">
        <f t="shared" si="0"/>
        <v>58.8087</v>
      </c>
      <c r="G21" s="17">
        <f t="shared" si="1"/>
        <v>58.8087</v>
      </c>
    </row>
    <row r="22" spans="1:7" ht="18" customHeight="1">
      <c r="A22" s="8" t="s">
        <v>284</v>
      </c>
      <c r="B22" s="14" t="s">
        <v>285</v>
      </c>
      <c r="C22" s="74">
        <v>30000000</v>
      </c>
      <c r="D22" s="74">
        <v>30000000</v>
      </c>
      <c r="E22" s="74">
        <v>504000</v>
      </c>
      <c r="F22" s="17">
        <f t="shared" si="0"/>
        <v>1.68</v>
      </c>
      <c r="G22" s="17">
        <f t="shared" si="1"/>
        <v>1.68</v>
      </c>
    </row>
    <row r="23" spans="1:7" ht="18" customHeight="1">
      <c r="A23" s="8" t="s">
        <v>290</v>
      </c>
      <c r="B23" s="14" t="s">
        <v>291</v>
      </c>
      <c r="C23" s="74">
        <v>5000000</v>
      </c>
      <c r="D23" s="74">
        <f>5000000-1000000</f>
        <v>4000000</v>
      </c>
      <c r="E23" s="74"/>
      <c r="F23" s="17">
        <f t="shared" si="0"/>
        <v>0</v>
      </c>
      <c r="G23" s="17">
        <f t="shared" si="1"/>
        <v>0</v>
      </c>
    </row>
    <row r="24" spans="1:7" ht="18" customHeight="1">
      <c r="A24" s="8" t="s">
        <v>331</v>
      </c>
      <c r="B24" s="14" t="s">
        <v>339</v>
      </c>
      <c r="C24" s="74">
        <v>40000000</v>
      </c>
      <c r="D24" s="74">
        <v>40000000</v>
      </c>
      <c r="E24" s="74">
        <v>2700218</v>
      </c>
      <c r="F24" s="17">
        <f t="shared" si="0"/>
        <v>6.750545</v>
      </c>
      <c r="G24" s="17">
        <f t="shared" si="1"/>
        <v>6.750545</v>
      </c>
    </row>
    <row r="25" spans="1:7" ht="18" customHeight="1">
      <c r="A25" s="8" t="s">
        <v>341</v>
      </c>
      <c r="B25" s="14" t="s">
        <v>342</v>
      </c>
      <c r="C25" s="74"/>
      <c r="D25" s="74"/>
      <c r="E25" s="74"/>
      <c r="F25" s="17" t="str">
        <f t="shared" si="0"/>
        <v>-</v>
      </c>
      <c r="G25" s="17" t="str">
        <f t="shared" si="1"/>
        <v>-</v>
      </c>
    </row>
    <row r="26" spans="1:7" ht="18" customHeight="1" thickBot="1">
      <c r="A26" s="16"/>
      <c r="B26" s="88" t="s">
        <v>192</v>
      </c>
      <c r="C26" s="35">
        <f>SUM(C3:C25)</f>
        <v>371840000</v>
      </c>
      <c r="D26" s="35">
        <f>SUM(D3:D25)</f>
        <v>371840000</v>
      </c>
      <c r="E26" s="35">
        <f>SUM(E3:E25)</f>
        <v>67386020</v>
      </c>
      <c r="F26" s="36">
        <f t="shared" si="0"/>
        <v>18.12231604991394</v>
      </c>
      <c r="G26" s="36">
        <f t="shared" si="1"/>
        <v>18.12231604991394</v>
      </c>
    </row>
    <row r="27" spans="1:7" ht="18" customHeight="1">
      <c r="A27" s="89"/>
      <c r="B27" s="90" t="s">
        <v>42</v>
      </c>
      <c r="C27" s="74"/>
      <c r="D27" s="74"/>
      <c r="E27" s="74"/>
      <c r="F27" s="17"/>
      <c r="G27" s="17"/>
    </row>
    <row r="28" spans="1:7" ht="18" customHeight="1">
      <c r="A28" s="8"/>
      <c r="B28" s="9" t="s">
        <v>238</v>
      </c>
      <c r="C28" s="12"/>
      <c r="D28" s="12"/>
      <c r="E28" s="12"/>
      <c r="F28" s="13"/>
      <c r="G28" s="13"/>
    </row>
    <row r="29" spans="1:7" ht="18" customHeight="1">
      <c r="A29" s="8" t="s">
        <v>88</v>
      </c>
      <c r="B29" s="14" t="s">
        <v>312</v>
      </c>
      <c r="C29" s="74">
        <v>25000000</v>
      </c>
      <c r="D29" s="74">
        <v>25000000</v>
      </c>
      <c r="E29" s="74"/>
      <c r="F29" s="17">
        <f t="shared" si="0"/>
        <v>0</v>
      </c>
      <c r="G29" s="17">
        <f t="shared" si="1"/>
        <v>0</v>
      </c>
    </row>
    <row r="30" spans="1:7" ht="18" customHeight="1" thickBot="1">
      <c r="A30" s="75"/>
      <c r="B30" s="34" t="s">
        <v>192</v>
      </c>
      <c r="C30" s="35">
        <f>+C29</f>
        <v>25000000</v>
      </c>
      <c r="D30" s="35">
        <f>+D29</f>
        <v>25000000</v>
      </c>
      <c r="E30" s="35">
        <f>+E29</f>
        <v>0</v>
      </c>
      <c r="F30" s="36">
        <f t="shared" si="0"/>
        <v>0</v>
      </c>
      <c r="G30" s="36">
        <f t="shared" si="1"/>
        <v>0</v>
      </c>
    </row>
    <row r="31" spans="1:7" ht="18" customHeight="1" thickBot="1">
      <c r="A31" s="76"/>
      <c r="B31" s="34" t="s">
        <v>190</v>
      </c>
      <c r="C31" s="77">
        <f>+C26+C30</f>
        <v>396840000</v>
      </c>
      <c r="D31" s="77">
        <f>+D26+D30</f>
        <v>396840000</v>
      </c>
      <c r="E31" s="77">
        <f>+E26+E30</f>
        <v>67386020</v>
      </c>
      <c r="F31" s="124">
        <f t="shared" si="0"/>
        <v>16.980652152000804</v>
      </c>
      <c r="G31" s="124">
        <f t="shared" si="1"/>
        <v>16.980652152000804</v>
      </c>
    </row>
    <row r="32" ht="13.5" customHeight="1"/>
  </sheetData>
  <printOptions/>
  <pageMargins left="0.27" right="0.17" top="1.17" bottom="0.58" header="0.38" footer="0.32"/>
  <pageSetup firstPageNumber="16" useFirstPageNumber="1" horizontalDpi="360" verticalDpi="360" orientation="portrait" paperSize="9" scale="92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00390625" defaultRowHeight="18" customHeight="1"/>
  <cols>
    <col min="1" max="1" width="7.125" style="21" customWidth="1"/>
    <col min="2" max="2" width="42.125" style="23" customWidth="1"/>
    <col min="3" max="4" width="11.125" style="25" bestFit="1" customWidth="1"/>
    <col min="5" max="5" width="12.875" style="25" bestFit="1" customWidth="1"/>
    <col min="6" max="6" width="10.00390625" style="25" bestFit="1" customWidth="1"/>
    <col min="7" max="7" width="10.75390625" style="25" customWidth="1"/>
    <col min="8" max="8" width="11.125" style="22" bestFit="1" customWidth="1"/>
    <col min="9" max="16384" width="11.00390625" style="22" customWidth="1"/>
  </cols>
  <sheetData>
    <row r="1" spans="1:7" s="84" customFormat="1" ht="18" customHeight="1">
      <c r="A1" s="27" t="s">
        <v>29</v>
      </c>
      <c r="B1" s="28" t="s">
        <v>43</v>
      </c>
      <c r="C1" s="1" t="s">
        <v>357</v>
      </c>
      <c r="D1" s="1" t="s">
        <v>344</v>
      </c>
      <c r="E1" s="98" t="s">
        <v>248</v>
      </c>
      <c r="F1" s="1" t="s">
        <v>46</v>
      </c>
      <c r="G1" s="1" t="s">
        <v>46</v>
      </c>
    </row>
    <row r="2" spans="1:8" s="84" customFormat="1" ht="18" customHeight="1" thickBot="1">
      <c r="A2" s="29" t="s">
        <v>174</v>
      </c>
      <c r="B2" s="30" t="s">
        <v>24</v>
      </c>
      <c r="C2" s="33">
        <v>2004</v>
      </c>
      <c r="D2" s="33">
        <v>2004</v>
      </c>
      <c r="E2" s="116">
        <v>38168</v>
      </c>
      <c r="F2" s="7" t="s">
        <v>346</v>
      </c>
      <c r="G2" s="7" t="s">
        <v>355</v>
      </c>
      <c r="H2" s="85"/>
    </row>
    <row r="3" spans="1:7" ht="18" customHeight="1">
      <c r="A3" s="86" t="s">
        <v>116</v>
      </c>
      <c r="B3" s="40" t="s">
        <v>30</v>
      </c>
      <c r="C3" s="41">
        <v>2733000</v>
      </c>
      <c r="D3" s="41">
        <v>2733000</v>
      </c>
      <c r="E3" s="41">
        <v>1268384</v>
      </c>
      <c r="F3" s="17">
        <f>IF(C3=0,"-",$E3/C3*100)</f>
        <v>46.40995243322356</v>
      </c>
      <c r="G3" s="17">
        <f>IF(D3=0,"-",$E3/D3*100)</f>
        <v>46.40995243322356</v>
      </c>
    </row>
    <row r="4" spans="1:7" ht="18" customHeight="1">
      <c r="A4" s="32" t="s">
        <v>115</v>
      </c>
      <c r="B4" s="40" t="s">
        <v>147</v>
      </c>
      <c r="C4" s="41">
        <v>75110000</v>
      </c>
      <c r="D4" s="41">
        <v>75110000</v>
      </c>
      <c r="E4" s="41">
        <v>44664316</v>
      </c>
      <c r="F4" s="17">
        <f>IF(C4=0,"-",$E4/C4*100)</f>
        <v>59.46520569830914</v>
      </c>
      <c r="G4" s="17">
        <f>IF(D4=0,"-",$E4/D4*100)</f>
        <v>59.46520569830914</v>
      </c>
    </row>
    <row r="5" spans="1:7" ht="18" customHeight="1">
      <c r="A5" s="49" t="s">
        <v>114</v>
      </c>
      <c r="B5" s="40" t="s">
        <v>148</v>
      </c>
      <c r="C5" s="41">
        <v>7000000</v>
      </c>
      <c r="D5" s="41">
        <v>7000000</v>
      </c>
      <c r="E5" s="41">
        <v>3300140</v>
      </c>
      <c r="F5" s="17">
        <f aca="true" t="shared" si="0" ref="F5:F22">IF(C5=0,"-",$E5/C5*100)</f>
        <v>47.14485714285714</v>
      </c>
      <c r="G5" s="17">
        <f aca="true" t="shared" si="1" ref="G5:G22">IF(D5=0,"-",$E5/D5*100)</f>
        <v>47.14485714285714</v>
      </c>
    </row>
    <row r="6" spans="1:7" ht="18" customHeight="1">
      <c r="A6" s="32" t="s">
        <v>176</v>
      </c>
      <c r="B6" s="40" t="s">
        <v>188</v>
      </c>
      <c r="C6" s="41">
        <v>4248764</v>
      </c>
      <c r="D6" s="41">
        <v>4248764</v>
      </c>
      <c r="E6" s="41">
        <v>2159081</v>
      </c>
      <c r="F6" s="17">
        <f t="shared" si="0"/>
        <v>50.81668456991256</v>
      </c>
      <c r="G6" s="17">
        <f t="shared" si="1"/>
        <v>50.81668456991256</v>
      </c>
    </row>
    <row r="7" spans="1:7" ht="18" customHeight="1">
      <c r="A7" s="32" t="s">
        <v>113</v>
      </c>
      <c r="B7" s="40" t="s">
        <v>260</v>
      </c>
      <c r="C7" s="41">
        <v>6680000</v>
      </c>
      <c r="D7" s="41">
        <v>6680000</v>
      </c>
      <c r="E7" s="41">
        <v>3340001</v>
      </c>
      <c r="F7" s="17">
        <f t="shared" si="0"/>
        <v>50.00001497005988</v>
      </c>
      <c r="G7" s="17">
        <f t="shared" si="1"/>
        <v>50.00001497005988</v>
      </c>
    </row>
    <row r="8" spans="1:8" ht="18" customHeight="1">
      <c r="A8" s="32" t="s">
        <v>112</v>
      </c>
      <c r="B8" s="14" t="s">
        <v>234</v>
      </c>
      <c r="C8" s="41">
        <v>12000000</v>
      </c>
      <c r="D8" s="41">
        <v>12000000</v>
      </c>
      <c r="E8" s="41">
        <v>3000000</v>
      </c>
      <c r="F8" s="17">
        <f t="shared" si="0"/>
        <v>25</v>
      </c>
      <c r="G8" s="17">
        <f t="shared" si="1"/>
        <v>25</v>
      </c>
      <c r="H8" s="31">
        <f>SUM(E8:E10)</f>
        <v>40071620</v>
      </c>
    </row>
    <row r="9" spans="1:7" ht="18" customHeight="1">
      <c r="A9" s="32" t="s">
        <v>112</v>
      </c>
      <c r="B9" s="14" t="s">
        <v>149</v>
      </c>
      <c r="C9" s="41">
        <v>9360000</v>
      </c>
      <c r="D9" s="41">
        <v>9360000</v>
      </c>
      <c r="E9" s="41">
        <v>4680000</v>
      </c>
      <c r="F9" s="17">
        <f t="shared" si="0"/>
        <v>50</v>
      </c>
      <c r="G9" s="17">
        <f t="shared" si="1"/>
        <v>50</v>
      </c>
    </row>
    <row r="10" spans="1:7" ht="18" customHeight="1">
      <c r="A10" s="32" t="s">
        <v>112</v>
      </c>
      <c r="B10" s="14" t="s">
        <v>295</v>
      </c>
      <c r="C10" s="41">
        <v>64000000</v>
      </c>
      <c r="D10" s="41">
        <v>64000000</v>
      </c>
      <c r="E10" s="41">
        <v>32391620</v>
      </c>
      <c r="F10" s="17">
        <f t="shared" si="0"/>
        <v>50.611906250000004</v>
      </c>
      <c r="G10" s="17">
        <f t="shared" si="1"/>
        <v>50.611906250000004</v>
      </c>
    </row>
    <row r="11" spans="1:8" ht="18" customHeight="1">
      <c r="A11" s="32" t="s">
        <v>111</v>
      </c>
      <c r="B11" s="40" t="s">
        <v>323</v>
      </c>
      <c r="C11" s="41">
        <v>129000000</v>
      </c>
      <c r="D11" s="41">
        <v>129000000</v>
      </c>
      <c r="E11" s="41">
        <v>66559982</v>
      </c>
      <c r="F11" s="17">
        <f t="shared" si="0"/>
        <v>51.59688527131783</v>
      </c>
      <c r="G11" s="17">
        <f t="shared" si="1"/>
        <v>51.59688527131783</v>
      </c>
      <c r="H11" s="31">
        <f>SUM(E11:E15)</f>
        <v>104823950</v>
      </c>
    </row>
    <row r="12" spans="1:9" ht="18" customHeight="1">
      <c r="A12" s="32" t="s">
        <v>111</v>
      </c>
      <c r="B12" s="40" t="s">
        <v>212</v>
      </c>
      <c r="C12" s="41">
        <v>17000000</v>
      </c>
      <c r="D12" s="41">
        <v>17000000</v>
      </c>
      <c r="E12" s="41">
        <v>8786997</v>
      </c>
      <c r="F12" s="17">
        <f t="shared" si="0"/>
        <v>51.68821764705882</v>
      </c>
      <c r="G12" s="17">
        <f t="shared" si="1"/>
        <v>51.68821764705882</v>
      </c>
      <c r="H12" s="31"/>
      <c r="I12" s="31"/>
    </row>
    <row r="13" spans="1:7" ht="18" customHeight="1">
      <c r="A13" s="32" t="s">
        <v>111</v>
      </c>
      <c r="B13" s="40" t="s">
        <v>213</v>
      </c>
      <c r="C13" s="41">
        <v>50886134</v>
      </c>
      <c r="D13" s="41">
        <v>50886134</v>
      </c>
      <c r="E13" s="41">
        <v>27881505</v>
      </c>
      <c r="F13" s="17">
        <f t="shared" si="0"/>
        <v>54.79194980699458</v>
      </c>
      <c r="G13" s="17">
        <f t="shared" si="1"/>
        <v>54.79194980699458</v>
      </c>
    </row>
    <row r="14" spans="1:7" ht="18" customHeight="1">
      <c r="A14" s="32" t="s">
        <v>111</v>
      </c>
      <c r="B14" s="40" t="s">
        <v>321</v>
      </c>
      <c r="C14" s="41">
        <v>5100000</v>
      </c>
      <c r="D14" s="41">
        <v>5100000</v>
      </c>
      <c r="E14" s="41">
        <v>1595466</v>
      </c>
      <c r="F14" s="17">
        <f t="shared" si="0"/>
        <v>31.283647058823526</v>
      </c>
      <c r="G14" s="17">
        <f t="shared" si="1"/>
        <v>31.283647058823526</v>
      </c>
    </row>
    <row r="15" spans="1:7" ht="18" customHeight="1">
      <c r="A15" s="32" t="s">
        <v>111</v>
      </c>
      <c r="B15" s="40" t="s">
        <v>322</v>
      </c>
      <c r="C15" s="41">
        <v>2100000</v>
      </c>
      <c r="D15" s="41">
        <v>2100000</v>
      </c>
      <c r="E15" s="41"/>
      <c r="F15" s="17">
        <f t="shared" si="0"/>
        <v>0</v>
      </c>
      <c r="G15" s="17">
        <f t="shared" si="1"/>
        <v>0</v>
      </c>
    </row>
    <row r="16" spans="1:7" ht="18" customHeight="1">
      <c r="A16" s="49" t="s">
        <v>110</v>
      </c>
      <c r="B16" s="14" t="s">
        <v>189</v>
      </c>
      <c r="C16" s="41">
        <v>100000000</v>
      </c>
      <c r="D16" s="41">
        <v>100000000</v>
      </c>
      <c r="E16" s="41">
        <v>187200</v>
      </c>
      <c r="F16" s="17">
        <f t="shared" si="0"/>
        <v>0.1872</v>
      </c>
      <c r="G16" s="17">
        <f t="shared" si="1"/>
        <v>0.1872</v>
      </c>
    </row>
    <row r="17" spans="1:7" ht="18" customHeight="1">
      <c r="A17" s="49" t="s">
        <v>109</v>
      </c>
      <c r="B17" s="40" t="s">
        <v>204</v>
      </c>
      <c r="C17" s="41">
        <v>5000000</v>
      </c>
      <c r="D17" s="41">
        <v>5000000</v>
      </c>
      <c r="E17" s="41"/>
      <c r="F17" s="17">
        <f t="shared" si="0"/>
        <v>0</v>
      </c>
      <c r="G17" s="17">
        <f t="shared" si="1"/>
        <v>0</v>
      </c>
    </row>
    <row r="18" spans="1:8" ht="18" customHeight="1">
      <c r="A18" s="49" t="s">
        <v>108</v>
      </c>
      <c r="B18" s="40" t="s">
        <v>261</v>
      </c>
      <c r="C18" s="41">
        <v>250000000</v>
      </c>
      <c r="D18" s="41">
        <f>250000000-90000000</f>
        <v>160000000</v>
      </c>
      <c r="E18" s="41">
        <v>879480</v>
      </c>
      <c r="F18" s="17">
        <f t="shared" si="0"/>
        <v>0.351792</v>
      </c>
      <c r="G18" s="17">
        <f t="shared" si="1"/>
        <v>0.549675</v>
      </c>
      <c r="H18" s="31">
        <f>SUM(E18:E19)</f>
        <v>2879480</v>
      </c>
    </row>
    <row r="19" spans="1:7" ht="18" customHeight="1">
      <c r="A19" s="49" t="s">
        <v>108</v>
      </c>
      <c r="B19" s="14" t="s">
        <v>214</v>
      </c>
      <c r="C19" s="41">
        <v>2000000</v>
      </c>
      <c r="D19" s="41">
        <v>2000000</v>
      </c>
      <c r="E19" s="41">
        <v>2000000</v>
      </c>
      <c r="F19" s="17">
        <f t="shared" si="0"/>
        <v>100</v>
      </c>
      <c r="G19" s="17">
        <f t="shared" si="1"/>
        <v>100</v>
      </c>
    </row>
    <row r="20" spans="1:7" ht="18" customHeight="1">
      <c r="A20" s="49" t="s">
        <v>151</v>
      </c>
      <c r="B20" s="14" t="s">
        <v>150</v>
      </c>
      <c r="C20" s="41">
        <v>8000000</v>
      </c>
      <c r="D20" s="41">
        <v>8000000</v>
      </c>
      <c r="E20" s="41">
        <v>3338075</v>
      </c>
      <c r="F20" s="17">
        <f t="shared" si="0"/>
        <v>41.7259375</v>
      </c>
      <c r="G20" s="17">
        <f t="shared" si="1"/>
        <v>41.7259375</v>
      </c>
    </row>
    <row r="21" spans="1:7" ht="18" customHeight="1">
      <c r="A21" s="49" t="s">
        <v>279</v>
      </c>
      <c r="B21" s="14" t="s">
        <v>280</v>
      </c>
      <c r="C21" s="41">
        <v>1043000</v>
      </c>
      <c r="D21" s="41">
        <v>1043000</v>
      </c>
      <c r="E21" s="41"/>
      <c r="F21" s="17">
        <f t="shared" si="0"/>
        <v>0</v>
      </c>
      <c r="G21" s="17">
        <f t="shared" si="1"/>
        <v>0</v>
      </c>
    </row>
    <row r="22" spans="1:7" ht="18" customHeight="1" thickBot="1">
      <c r="A22" s="3"/>
      <c r="B22" s="34" t="s">
        <v>192</v>
      </c>
      <c r="C22" s="42">
        <f>SUM(C3:C21)</f>
        <v>751260898</v>
      </c>
      <c r="D22" s="42">
        <f>SUM(D3:D21)</f>
        <v>661260898</v>
      </c>
      <c r="E22" s="42">
        <f>SUM(E3:E21)</f>
        <v>206032247</v>
      </c>
      <c r="F22" s="36">
        <f t="shared" si="0"/>
        <v>27.4248596657296</v>
      </c>
      <c r="G22" s="36">
        <f t="shared" si="1"/>
        <v>31.157482262016345</v>
      </c>
    </row>
    <row r="23" spans="3:7" ht="18" customHeight="1">
      <c r="C23" s="82"/>
      <c r="D23" s="82"/>
      <c r="E23" s="82"/>
      <c r="F23" s="82"/>
      <c r="G23" s="82"/>
    </row>
    <row r="24" spans="3:7" ht="18" customHeight="1">
      <c r="C24" s="82"/>
      <c r="D24" s="82"/>
      <c r="E24" s="82"/>
      <c r="F24" s="82"/>
      <c r="G24" s="82"/>
    </row>
    <row r="25" spans="3:7" ht="18" customHeight="1">
      <c r="C25" s="82"/>
      <c r="D25" s="82"/>
      <c r="E25" s="82"/>
      <c r="F25" s="82"/>
      <c r="G25" s="82"/>
    </row>
    <row r="26" spans="3:7" ht="18" customHeight="1">
      <c r="C26" s="82"/>
      <c r="D26" s="82"/>
      <c r="E26" s="82"/>
      <c r="F26" s="82"/>
      <c r="G26" s="82"/>
    </row>
    <row r="27" spans="3:7" ht="18" customHeight="1">
      <c r="C27" s="82"/>
      <c r="D27" s="82"/>
      <c r="E27" s="82"/>
      <c r="F27" s="82"/>
      <c r="G27" s="82"/>
    </row>
    <row r="28" spans="3:7" ht="18" customHeight="1">
      <c r="C28" s="82"/>
      <c r="D28" s="82"/>
      <c r="E28" s="82"/>
      <c r="F28" s="82"/>
      <c r="G28" s="82"/>
    </row>
    <row r="29" spans="2:7" ht="18" customHeight="1">
      <c r="B29" s="26"/>
      <c r="C29" s="83"/>
      <c r="D29" s="83"/>
      <c r="E29" s="83"/>
      <c r="F29" s="83"/>
      <c r="G29" s="83"/>
    </row>
    <row r="30" spans="2:7" ht="18" customHeight="1">
      <c r="B30" s="26"/>
      <c r="C30" s="83"/>
      <c r="D30" s="83"/>
      <c r="E30" s="83"/>
      <c r="F30" s="83"/>
      <c r="G30" s="83"/>
    </row>
    <row r="32" ht="18" customHeight="1">
      <c r="B32" s="26"/>
    </row>
    <row r="33" ht="18" customHeight="1">
      <c r="B33" s="26"/>
    </row>
  </sheetData>
  <printOptions/>
  <pageMargins left="0.38" right="0.17" top="1.17" bottom="0.51" header="0.38" footer="0.27"/>
  <pageSetup firstPageNumber="17" useFirstPageNumber="1" horizontalDpi="360" verticalDpi="360" orientation="portrait" paperSize="9" scale="94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00390625" defaultRowHeight="18" customHeight="1"/>
  <cols>
    <col min="1" max="1" width="7.375" style="21" customWidth="1"/>
    <col min="2" max="2" width="38.75390625" style="23" customWidth="1"/>
    <col min="3" max="4" width="11.125" style="25" bestFit="1" customWidth="1"/>
    <col min="5" max="5" width="12.875" style="25" bestFit="1" customWidth="1"/>
    <col min="6" max="6" width="10.00390625" style="25" bestFit="1" customWidth="1"/>
    <col min="7" max="7" width="11.25390625" style="25" bestFit="1" customWidth="1"/>
    <col min="8" max="8" width="11.125" style="22" bestFit="1" customWidth="1"/>
    <col min="9" max="16384" width="11.00390625" style="22" customWidth="1"/>
  </cols>
  <sheetData>
    <row r="1" spans="1:7" s="44" customFormat="1" ht="18" customHeight="1">
      <c r="A1" s="27" t="s">
        <v>29</v>
      </c>
      <c r="B1" s="28" t="s">
        <v>43</v>
      </c>
      <c r="C1" s="1" t="s">
        <v>357</v>
      </c>
      <c r="D1" s="1" t="s">
        <v>344</v>
      </c>
      <c r="E1" s="98" t="s">
        <v>248</v>
      </c>
      <c r="F1" s="1" t="s">
        <v>46</v>
      </c>
      <c r="G1" s="1" t="s">
        <v>46</v>
      </c>
    </row>
    <row r="2" spans="1:7" s="44" customFormat="1" ht="18" customHeight="1" thickBot="1">
      <c r="A2" s="29" t="s">
        <v>174</v>
      </c>
      <c r="B2" s="30" t="s">
        <v>24</v>
      </c>
      <c r="C2" s="33">
        <v>2004</v>
      </c>
      <c r="D2" s="33">
        <v>2004</v>
      </c>
      <c r="E2" s="116">
        <v>38168</v>
      </c>
      <c r="F2" s="7" t="s">
        <v>346</v>
      </c>
      <c r="G2" s="7" t="s">
        <v>355</v>
      </c>
    </row>
    <row r="3" spans="1:7" ht="18" customHeight="1">
      <c r="A3" s="49" t="s">
        <v>117</v>
      </c>
      <c r="B3" s="40" t="s">
        <v>30</v>
      </c>
      <c r="C3" s="68">
        <v>3000000</v>
      </c>
      <c r="D3" s="68">
        <v>3000000</v>
      </c>
      <c r="E3" s="68">
        <v>136927</v>
      </c>
      <c r="F3" s="17">
        <f>IF(C3=0,"-",$E3/C3*100)</f>
        <v>4.564233333333333</v>
      </c>
      <c r="G3" s="17">
        <f>IF(D3=0,"-",$E3/D3*100)</f>
        <v>4.564233333333333</v>
      </c>
    </row>
    <row r="4" spans="1:8" ht="18" customHeight="1">
      <c r="A4" s="78" t="s">
        <v>118</v>
      </c>
      <c r="B4" s="40" t="s">
        <v>187</v>
      </c>
      <c r="C4" s="68">
        <v>48500000</v>
      </c>
      <c r="D4" s="68">
        <v>48500000</v>
      </c>
      <c r="E4" s="68">
        <v>19222686</v>
      </c>
      <c r="F4" s="17">
        <f>IF(C4=0,"-",$E4/C4*100)</f>
        <v>39.63440412371134</v>
      </c>
      <c r="G4" s="17">
        <f>IF(D4=0,"-",$E4/D4*100)</f>
        <v>39.63440412371134</v>
      </c>
      <c r="H4" s="31">
        <f>SUM(E4:E10)</f>
        <v>316601573</v>
      </c>
    </row>
    <row r="5" spans="1:7" ht="18" customHeight="1">
      <c r="A5" s="78" t="s">
        <v>118</v>
      </c>
      <c r="B5" s="40" t="s">
        <v>337</v>
      </c>
      <c r="C5" s="68">
        <v>104249355</v>
      </c>
      <c r="D5" s="68">
        <f>104249355+27279392</f>
        <v>131528747</v>
      </c>
      <c r="E5" s="68">
        <v>42425954</v>
      </c>
      <c r="F5" s="17">
        <f aca="true" t="shared" si="0" ref="F5:F15">IF(C5=0,"-",$E5/C5*100)</f>
        <v>40.696610544976515</v>
      </c>
      <c r="G5" s="17">
        <f aca="true" t="shared" si="1" ref="G5:G15">IF(D5=0,"-",$E5/D5*100)</f>
        <v>32.25603145143624</v>
      </c>
    </row>
    <row r="6" spans="1:7" ht="18" customHeight="1">
      <c r="A6" s="78" t="s">
        <v>118</v>
      </c>
      <c r="B6" s="40" t="s">
        <v>338</v>
      </c>
      <c r="C6" s="68">
        <v>416997423</v>
      </c>
      <c r="D6" s="68">
        <v>416997423</v>
      </c>
      <c r="E6" s="68">
        <v>254952933</v>
      </c>
      <c r="F6" s="17">
        <f t="shared" si="0"/>
        <v>61.140169923783915</v>
      </c>
      <c r="G6" s="17">
        <f t="shared" si="1"/>
        <v>61.140169923783915</v>
      </c>
    </row>
    <row r="7" spans="1:7" ht="18" customHeight="1">
      <c r="A7" s="78" t="s">
        <v>118</v>
      </c>
      <c r="B7" s="40" t="s">
        <v>334</v>
      </c>
      <c r="C7" s="68">
        <v>3000000</v>
      </c>
      <c r="D7" s="68">
        <f>3000000+13000000</f>
        <v>16000000</v>
      </c>
      <c r="E7" s="68"/>
      <c r="F7" s="17">
        <f t="shared" si="0"/>
        <v>0</v>
      </c>
      <c r="G7" s="17">
        <f t="shared" si="1"/>
        <v>0</v>
      </c>
    </row>
    <row r="8" spans="1:7" ht="18" customHeight="1">
      <c r="A8" s="78" t="s">
        <v>118</v>
      </c>
      <c r="B8" s="40" t="s">
        <v>351</v>
      </c>
      <c r="C8" s="68"/>
      <c r="D8" s="68">
        <v>31653000</v>
      </c>
      <c r="E8" s="68"/>
      <c r="F8" s="17" t="str">
        <f t="shared" si="0"/>
        <v>-</v>
      </c>
      <c r="G8" s="17">
        <f t="shared" si="1"/>
        <v>0</v>
      </c>
    </row>
    <row r="9" spans="1:7" ht="18" customHeight="1">
      <c r="A9" s="78" t="s">
        <v>118</v>
      </c>
      <c r="B9" s="40" t="s">
        <v>352</v>
      </c>
      <c r="C9" s="68"/>
      <c r="D9" s="68">
        <v>7000000</v>
      </c>
      <c r="E9" s="68"/>
      <c r="F9" s="17" t="str">
        <f t="shared" si="0"/>
        <v>-</v>
      </c>
      <c r="G9" s="17">
        <f t="shared" si="1"/>
        <v>0</v>
      </c>
    </row>
    <row r="10" spans="1:7" ht="18" customHeight="1">
      <c r="A10" s="78" t="s">
        <v>118</v>
      </c>
      <c r="B10" s="40" t="s">
        <v>353</v>
      </c>
      <c r="C10" s="68"/>
      <c r="D10" s="68">
        <v>9630000</v>
      </c>
      <c r="E10" s="68"/>
      <c r="F10" s="17" t="str">
        <f t="shared" si="0"/>
        <v>-</v>
      </c>
      <c r="G10" s="17">
        <f t="shared" si="1"/>
        <v>0</v>
      </c>
    </row>
    <row r="11" spans="1:8" ht="18" customHeight="1">
      <c r="A11" s="78" t="s">
        <v>119</v>
      </c>
      <c r="B11" s="40" t="s">
        <v>159</v>
      </c>
      <c r="C11" s="68">
        <v>1530000</v>
      </c>
      <c r="D11" s="68">
        <v>1530000</v>
      </c>
      <c r="E11" s="68"/>
      <c r="F11" s="17">
        <f t="shared" si="0"/>
        <v>0</v>
      </c>
      <c r="G11" s="17">
        <f t="shared" si="1"/>
        <v>0</v>
      </c>
      <c r="H11" s="31"/>
    </row>
    <row r="12" spans="1:7" ht="18" customHeight="1">
      <c r="A12" s="78" t="s">
        <v>120</v>
      </c>
      <c r="B12" s="40" t="s">
        <v>325</v>
      </c>
      <c r="C12" s="68">
        <v>35000000</v>
      </c>
      <c r="D12" s="68">
        <v>35000000</v>
      </c>
      <c r="E12" s="68"/>
      <c r="F12" s="17">
        <f t="shared" si="0"/>
        <v>0</v>
      </c>
      <c r="G12" s="17">
        <f t="shared" si="1"/>
        <v>0</v>
      </c>
    </row>
    <row r="13" spans="1:7" ht="18" customHeight="1">
      <c r="A13" s="78" t="s">
        <v>121</v>
      </c>
      <c r="B13" s="14" t="s">
        <v>15</v>
      </c>
      <c r="C13" s="68">
        <v>7822000</v>
      </c>
      <c r="D13" s="68">
        <v>7822000</v>
      </c>
      <c r="E13" s="68"/>
      <c r="F13" s="17">
        <f t="shared" si="0"/>
        <v>0</v>
      </c>
      <c r="G13" s="17">
        <f t="shared" si="1"/>
        <v>0</v>
      </c>
    </row>
    <row r="14" spans="1:7" ht="18" customHeight="1">
      <c r="A14" s="79"/>
      <c r="B14" s="14"/>
      <c r="C14" s="68"/>
      <c r="D14" s="68"/>
      <c r="E14" s="68"/>
      <c r="F14" s="17"/>
      <c r="G14" s="17"/>
    </row>
    <row r="15" spans="1:7" ht="18" customHeight="1" thickBot="1">
      <c r="A15" s="33"/>
      <c r="B15" s="34" t="s">
        <v>190</v>
      </c>
      <c r="C15" s="42">
        <f>SUM(C3:C14)</f>
        <v>620098778</v>
      </c>
      <c r="D15" s="42">
        <f>SUM(D3:D14)</f>
        <v>708661170</v>
      </c>
      <c r="E15" s="42">
        <f>SUM(E3:E14)</f>
        <v>316738500</v>
      </c>
      <c r="F15" s="36">
        <f t="shared" si="0"/>
        <v>51.078717010469575</v>
      </c>
      <c r="G15" s="36">
        <f t="shared" si="1"/>
        <v>44.695337265339376</v>
      </c>
    </row>
    <row r="16" ht="18" customHeight="1">
      <c r="A16" s="43" t="s">
        <v>24</v>
      </c>
    </row>
    <row r="17" spans="3:5" ht="18" customHeight="1">
      <c r="C17" s="80"/>
      <c r="D17" s="80"/>
      <c r="E17" s="80"/>
    </row>
    <row r="18" spans="2:7" ht="18" customHeight="1">
      <c r="B18" s="26"/>
      <c r="C18" s="81"/>
      <c r="D18" s="81"/>
      <c r="E18" s="81"/>
      <c r="F18" s="81"/>
      <c r="G18" s="81"/>
    </row>
    <row r="19" spans="3:7" ht="18" customHeight="1">
      <c r="C19" s="81"/>
      <c r="D19" s="81"/>
      <c r="E19" s="81"/>
      <c r="F19" s="81"/>
      <c r="G19" s="81"/>
    </row>
    <row r="20" spans="3:7" ht="18" customHeight="1">
      <c r="C20" s="82"/>
      <c r="D20" s="82"/>
      <c r="E20" s="82"/>
      <c r="F20" s="82"/>
      <c r="G20" s="82"/>
    </row>
    <row r="21" spans="3:7" ht="18" customHeight="1">
      <c r="C21" s="82"/>
      <c r="D21" s="82"/>
      <c r="E21" s="82"/>
      <c r="F21" s="82"/>
      <c r="G21" s="82"/>
    </row>
    <row r="22" spans="3:7" ht="18" customHeight="1">
      <c r="C22" s="82"/>
      <c r="D22" s="82"/>
      <c r="E22" s="82"/>
      <c r="F22" s="82"/>
      <c r="G22" s="82"/>
    </row>
    <row r="23" spans="3:7" ht="18" customHeight="1">
      <c r="C23" s="82"/>
      <c r="D23" s="82"/>
      <c r="E23" s="82"/>
      <c r="F23" s="82"/>
      <c r="G23" s="82"/>
    </row>
    <row r="24" spans="3:7" ht="18" customHeight="1">
      <c r="C24" s="82"/>
      <c r="D24" s="82"/>
      <c r="E24" s="82"/>
      <c r="F24" s="82"/>
      <c r="G24" s="82"/>
    </row>
    <row r="25" spans="3:7" ht="18" customHeight="1">
      <c r="C25" s="82"/>
      <c r="D25" s="82"/>
      <c r="E25" s="82"/>
      <c r="F25" s="82"/>
      <c r="G25" s="82"/>
    </row>
    <row r="26" spans="3:7" ht="18" customHeight="1">
      <c r="C26" s="82"/>
      <c r="D26" s="82"/>
      <c r="E26" s="82"/>
      <c r="F26" s="82"/>
      <c r="G26" s="82"/>
    </row>
    <row r="27" spans="2:7" ht="18" customHeight="1">
      <c r="B27" s="26"/>
      <c r="C27" s="83"/>
      <c r="D27" s="83"/>
      <c r="E27" s="83"/>
      <c r="F27" s="83"/>
      <c r="G27" s="83"/>
    </row>
    <row r="28" spans="3:7" ht="18" customHeight="1">
      <c r="C28" s="82"/>
      <c r="D28" s="82"/>
      <c r="E28" s="82"/>
      <c r="F28" s="82"/>
      <c r="G28" s="82"/>
    </row>
    <row r="29" spans="3:7" ht="18" customHeight="1">
      <c r="C29" s="82"/>
      <c r="D29" s="82"/>
      <c r="E29" s="82"/>
      <c r="F29" s="82"/>
      <c r="G29" s="82"/>
    </row>
  </sheetData>
  <printOptions/>
  <pageMargins left="0.38" right="0.17" top="1.17" bottom="0.91" header="0.41" footer="0.5511811023622047"/>
  <pageSetup firstPageNumber="18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4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00390625" defaultRowHeight="18" customHeight="1"/>
  <cols>
    <col min="1" max="1" width="6.875" style="21" customWidth="1"/>
    <col min="2" max="2" width="43.75390625" style="23" customWidth="1"/>
    <col min="3" max="4" width="11.75390625" style="25" bestFit="1" customWidth="1"/>
    <col min="5" max="5" width="12.875" style="25" bestFit="1" customWidth="1"/>
    <col min="6" max="6" width="10.00390625" style="92" bestFit="1" customWidth="1"/>
    <col min="7" max="7" width="10.75390625" style="92" customWidth="1"/>
    <col min="8" max="8" width="11.75390625" style="22" bestFit="1" customWidth="1"/>
    <col min="9" max="9" width="11.125" style="22" bestFit="1" customWidth="1"/>
    <col min="10" max="16384" width="11.00390625" style="22" customWidth="1"/>
  </cols>
  <sheetData>
    <row r="1" spans="1:7" s="44" customFormat="1" ht="18" customHeight="1">
      <c r="A1" s="27" t="s">
        <v>29</v>
      </c>
      <c r="B1" s="28" t="s">
        <v>43</v>
      </c>
      <c r="C1" s="1" t="s">
        <v>357</v>
      </c>
      <c r="D1" s="1" t="s">
        <v>344</v>
      </c>
      <c r="E1" s="98" t="s">
        <v>248</v>
      </c>
      <c r="F1" s="1" t="s">
        <v>46</v>
      </c>
      <c r="G1" s="1" t="s">
        <v>46</v>
      </c>
    </row>
    <row r="2" spans="1:7" s="44" customFormat="1" ht="18" customHeight="1" thickBot="1">
      <c r="A2" s="29" t="s">
        <v>174</v>
      </c>
      <c r="B2" s="30"/>
      <c r="C2" s="33">
        <v>2004</v>
      </c>
      <c r="D2" s="33">
        <v>2004</v>
      </c>
      <c r="E2" s="119">
        <v>38168</v>
      </c>
      <c r="F2" s="7" t="s">
        <v>346</v>
      </c>
      <c r="G2" s="7" t="s">
        <v>355</v>
      </c>
    </row>
    <row r="3" spans="1:255" s="66" customFormat="1" ht="18" customHeight="1">
      <c r="A3" s="64" t="s">
        <v>107</v>
      </c>
      <c r="B3" s="65" t="s">
        <v>30</v>
      </c>
      <c r="C3" s="112">
        <v>572285</v>
      </c>
      <c r="D3" s="112">
        <f>572285+1500000</f>
        <v>2072285</v>
      </c>
      <c r="E3" s="112">
        <v>350000</v>
      </c>
      <c r="F3" s="17">
        <f>IF(C3=0,"-",$E3/C3*100)</f>
        <v>61.1583389395144</v>
      </c>
      <c r="G3" s="17">
        <f>IF(D3=0,"-",$E3/D3*100)</f>
        <v>16.88956876105362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</row>
    <row r="4" spans="1:255" s="66" customFormat="1" ht="18" customHeight="1">
      <c r="A4" s="32" t="s">
        <v>106</v>
      </c>
      <c r="B4" s="40" t="s">
        <v>219</v>
      </c>
      <c r="C4" s="68">
        <v>640000</v>
      </c>
      <c r="D4" s="68">
        <v>640000</v>
      </c>
      <c r="E4" s="68"/>
      <c r="F4" s="17">
        <f>IF(C4=0,"-",$E4/C4*100)</f>
        <v>0</v>
      </c>
      <c r="G4" s="17">
        <f>IF(D4=0,"-",$E4/D4*100)</f>
        <v>0</v>
      </c>
      <c r="H4" s="67">
        <f>SUM(E4:E5)</f>
        <v>0</v>
      </c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</row>
    <row r="5" spans="1:255" ht="18" customHeight="1">
      <c r="A5" s="32" t="s">
        <v>106</v>
      </c>
      <c r="B5" s="40" t="s">
        <v>194</v>
      </c>
      <c r="C5" s="68">
        <v>2000000</v>
      </c>
      <c r="D5" s="68">
        <v>2000000</v>
      </c>
      <c r="E5" s="68"/>
      <c r="F5" s="17">
        <f aca="true" t="shared" si="0" ref="F5:F33">IF(C5=0,"-",$E5/C5*100)</f>
        <v>0</v>
      </c>
      <c r="G5" s="17">
        <f aca="true" t="shared" si="1" ref="G5:G33">IF(D5=0,"-",$E5/D5*100)</f>
        <v>0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</row>
    <row r="6" spans="1:7" ht="18" customHeight="1">
      <c r="A6" s="32" t="s">
        <v>105</v>
      </c>
      <c r="B6" s="40" t="s">
        <v>31</v>
      </c>
      <c r="C6" s="68">
        <v>2900000</v>
      </c>
      <c r="D6" s="68">
        <v>2900000</v>
      </c>
      <c r="E6" s="68">
        <v>1450001</v>
      </c>
      <c r="F6" s="17">
        <f t="shared" si="0"/>
        <v>50.000034482758615</v>
      </c>
      <c r="G6" s="17">
        <f t="shared" si="1"/>
        <v>50.000034482758615</v>
      </c>
    </row>
    <row r="7" spans="1:7" ht="18" customHeight="1">
      <c r="A7" s="32" t="s">
        <v>104</v>
      </c>
      <c r="B7" s="40" t="s">
        <v>32</v>
      </c>
      <c r="C7" s="68">
        <v>4000000</v>
      </c>
      <c r="D7" s="68">
        <v>4000000</v>
      </c>
      <c r="E7" s="68">
        <v>324068</v>
      </c>
      <c r="F7" s="17">
        <f t="shared" si="0"/>
        <v>8.101700000000001</v>
      </c>
      <c r="G7" s="17">
        <f t="shared" si="1"/>
        <v>8.101700000000001</v>
      </c>
    </row>
    <row r="8" spans="1:7" ht="18" customHeight="1">
      <c r="A8" s="32" t="s">
        <v>103</v>
      </c>
      <c r="B8" s="14" t="s">
        <v>156</v>
      </c>
      <c r="C8" s="68">
        <v>16800000</v>
      </c>
      <c r="D8" s="68">
        <v>16800000</v>
      </c>
      <c r="E8" s="68">
        <v>8400000</v>
      </c>
      <c r="F8" s="17">
        <f t="shared" si="0"/>
        <v>50</v>
      </c>
      <c r="G8" s="17">
        <f t="shared" si="1"/>
        <v>50</v>
      </c>
    </row>
    <row r="9" spans="1:7" ht="18" customHeight="1">
      <c r="A9" s="32" t="s">
        <v>102</v>
      </c>
      <c r="B9" s="14" t="s">
        <v>215</v>
      </c>
      <c r="C9" s="68">
        <v>3600000</v>
      </c>
      <c r="D9" s="68">
        <v>3600000</v>
      </c>
      <c r="E9" s="68">
        <v>1800000</v>
      </c>
      <c r="F9" s="17">
        <f t="shared" si="0"/>
        <v>50</v>
      </c>
      <c r="G9" s="17">
        <f t="shared" si="1"/>
        <v>50</v>
      </c>
    </row>
    <row r="10" spans="1:7" ht="18" customHeight="1">
      <c r="A10" s="32" t="s">
        <v>249</v>
      </c>
      <c r="B10" s="60" t="s">
        <v>335</v>
      </c>
      <c r="C10" s="68">
        <v>22000000</v>
      </c>
      <c r="D10" s="68">
        <v>22000000</v>
      </c>
      <c r="E10" s="68"/>
      <c r="F10" s="17">
        <f t="shared" si="0"/>
        <v>0</v>
      </c>
      <c r="G10" s="17">
        <f t="shared" si="1"/>
        <v>0</v>
      </c>
    </row>
    <row r="11" spans="1:8" ht="18" customHeight="1">
      <c r="A11" s="32" t="s">
        <v>101</v>
      </c>
      <c r="B11" s="14" t="s">
        <v>216</v>
      </c>
      <c r="C11" s="68">
        <v>6000000</v>
      </c>
      <c r="D11" s="68">
        <v>6000000</v>
      </c>
      <c r="E11" s="68">
        <v>3000000</v>
      </c>
      <c r="F11" s="17">
        <f t="shared" si="0"/>
        <v>50</v>
      </c>
      <c r="G11" s="17">
        <f t="shared" si="1"/>
        <v>50</v>
      </c>
      <c r="H11" s="31"/>
    </row>
    <row r="12" spans="1:8" ht="18" customHeight="1">
      <c r="A12" s="32" t="s">
        <v>100</v>
      </c>
      <c r="B12" s="14" t="s">
        <v>235</v>
      </c>
      <c r="C12" s="68">
        <f>32800000-2000000</f>
        <v>30800000</v>
      </c>
      <c r="D12" s="68">
        <f>32800000-2000000</f>
        <v>30800000</v>
      </c>
      <c r="E12" s="68">
        <v>15400001</v>
      </c>
      <c r="F12" s="17">
        <f t="shared" si="0"/>
        <v>50.000003246753245</v>
      </c>
      <c r="G12" s="17">
        <f t="shared" si="1"/>
        <v>50.000003246753245</v>
      </c>
      <c r="H12" s="31">
        <f>SUM(E12:E13)</f>
        <v>16900001</v>
      </c>
    </row>
    <row r="13" spans="1:7" ht="18" customHeight="1">
      <c r="A13" s="32" t="s">
        <v>100</v>
      </c>
      <c r="B13" s="14" t="s">
        <v>236</v>
      </c>
      <c r="C13" s="68">
        <v>3000000</v>
      </c>
      <c r="D13" s="68">
        <v>3000000</v>
      </c>
      <c r="E13" s="68">
        <v>1500000</v>
      </c>
      <c r="F13" s="17">
        <f t="shared" si="0"/>
        <v>50</v>
      </c>
      <c r="G13" s="17">
        <f t="shared" si="1"/>
        <v>50</v>
      </c>
    </row>
    <row r="14" spans="1:7" ht="18" customHeight="1">
      <c r="A14" s="32" t="s">
        <v>99</v>
      </c>
      <c r="B14" s="14" t="s">
        <v>178</v>
      </c>
      <c r="C14" s="68">
        <v>32800000</v>
      </c>
      <c r="D14" s="68">
        <f>32800000+1600000+2580000</f>
        <v>36980000</v>
      </c>
      <c r="E14" s="68">
        <v>12550000</v>
      </c>
      <c r="F14" s="17">
        <f t="shared" si="0"/>
        <v>38.26219512195122</v>
      </c>
      <c r="G14" s="17">
        <f t="shared" si="1"/>
        <v>33.937263385613846</v>
      </c>
    </row>
    <row r="15" spans="1:8" ht="18" customHeight="1">
      <c r="A15" s="32" t="s">
        <v>98</v>
      </c>
      <c r="B15" s="40" t="s">
        <v>211</v>
      </c>
      <c r="C15" s="68">
        <v>152446502</v>
      </c>
      <c r="D15" s="68">
        <f>154601216-4441528+246624</f>
        <v>150406312</v>
      </c>
      <c r="E15" s="68">
        <f>3166096+70424161</f>
        <v>73590257</v>
      </c>
      <c r="F15" s="17">
        <f t="shared" si="0"/>
        <v>48.272840658554436</v>
      </c>
      <c r="G15" s="17">
        <f t="shared" si="1"/>
        <v>48.927638754948</v>
      </c>
      <c r="H15" s="31">
        <f>SUM(E15:E19)</f>
        <v>126120610</v>
      </c>
    </row>
    <row r="16" spans="1:7" ht="18" customHeight="1">
      <c r="A16" s="32" t="s">
        <v>98</v>
      </c>
      <c r="B16" s="40" t="s">
        <v>212</v>
      </c>
      <c r="C16" s="68">
        <v>21260352</v>
      </c>
      <c r="D16" s="68">
        <v>21655204</v>
      </c>
      <c r="E16" s="68">
        <f>491292+10136310</f>
        <v>10627602</v>
      </c>
      <c r="F16" s="17">
        <f t="shared" si="0"/>
        <v>49.98789295680523</v>
      </c>
      <c r="G16" s="17">
        <f t="shared" si="1"/>
        <v>49.076434468130614</v>
      </c>
    </row>
    <row r="17" spans="1:9" ht="18" customHeight="1">
      <c r="A17" s="32" t="s">
        <v>98</v>
      </c>
      <c r="B17" s="40" t="s">
        <v>217</v>
      </c>
      <c r="C17" s="68">
        <v>63941106</v>
      </c>
      <c r="D17" s="68">
        <v>69971329</v>
      </c>
      <c r="E17" s="68">
        <f>2835924+33418153</f>
        <v>36254077</v>
      </c>
      <c r="F17" s="17">
        <f t="shared" si="0"/>
        <v>56.699170952720145</v>
      </c>
      <c r="G17" s="17">
        <f t="shared" si="1"/>
        <v>51.81276033788068</v>
      </c>
      <c r="I17" s="31"/>
    </row>
    <row r="18" spans="1:9" ht="18" customHeight="1">
      <c r="A18" s="32" t="s">
        <v>98</v>
      </c>
      <c r="B18" s="40" t="s">
        <v>318</v>
      </c>
      <c r="C18" s="68">
        <v>7826568</v>
      </c>
      <c r="D18" s="68">
        <v>6935721</v>
      </c>
      <c r="E18" s="68">
        <f>113976+3313884</f>
        <v>3427860</v>
      </c>
      <c r="F18" s="17">
        <f t="shared" si="0"/>
        <v>43.79774123217226</v>
      </c>
      <c r="G18" s="17">
        <f t="shared" si="1"/>
        <v>49.423268323509554</v>
      </c>
      <c r="I18" s="31"/>
    </row>
    <row r="19" spans="1:9" ht="18" customHeight="1">
      <c r="A19" s="32" t="s">
        <v>98</v>
      </c>
      <c r="B19" s="40" t="s">
        <v>319</v>
      </c>
      <c r="C19" s="68">
        <v>5239894</v>
      </c>
      <c r="D19" s="68">
        <f>4441528-246624</f>
        <v>4194904</v>
      </c>
      <c r="E19" s="68">
        <f>123312+2097502</f>
        <v>2220814</v>
      </c>
      <c r="F19" s="17">
        <f t="shared" si="0"/>
        <v>42.38280392694967</v>
      </c>
      <c r="G19" s="17">
        <f t="shared" si="1"/>
        <v>52.94075859662104</v>
      </c>
      <c r="I19" s="31"/>
    </row>
    <row r="20" spans="1:7" ht="18" customHeight="1">
      <c r="A20" s="32"/>
      <c r="B20" s="45" t="s">
        <v>33</v>
      </c>
      <c r="C20" s="68"/>
      <c r="D20" s="68"/>
      <c r="E20" s="68"/>
      <c r="F20" s="17" t="str">
        <f t="shared" si="0"/>
        <v>-</v>
      </c>
      <c r="G20" s="17" t="str">
        <f t="shared" si="1"/>
        <v>-</v>
      </c>
    </row>
    <row r="21" spans="1:8" s="72" customFormat="1" ht="18" customHeight="1">
      <c r="A21" s="69"/>
      <c r="B21" s="70" t="s">
        <v>303</v>
      </c>
      <c r="C21" s="113">
        <v>171705439</v>
      </c>
      <c r="D21" s="113">
        <f>145376893+26000000+328546+1600000</f>
        <v>173305439</v>
      </c>
      <c r="E21" s="113">
        <v>85852717</v>
      </c>
      <c r="F21" s="17">
        <f t="shared" si="0"/>
        <v>49.99999854401816</v>
      </c>
      <c r="G21" s="17">
        <f t="shared" si="1"/>
        <v>49.538385809114736</v>
      </c>
      <c r="H21" s="71">
        <f>SUM(E21:E24)</f>
        <v>126120610</v>
      </c>
    </row>
    <row r="22" spans="1:7" s="72" customFormat="1" ht="18" customHeight="1">
      <c r="A22" s="69"/>
      <c r="B22" s="70" t="s">
        <v>328</v>
      </c>
      <c r="C22" s="113">
        <v>53228983</v>
      </c>
      <c r="D22" s="113">
        <f>53472403-220949-22471</f>
        <v>53228983</v>
      </c>
      <c r="E22" s="113">
        <v>27239093</v>
      </c>
      <c r="F22" s="17">
        <f t="shared" si="0"/>
        <v>51.173423696635346</v>
      </c>
      <c r="G22" s="17">
        <f t="shared" si="1"/>
        <v>51.173423696635346</v>
      </c>
    </row>
    <row r="23" spans="1:9" s="72" customFormat="1" ht="18" customHeight="1">
      <c r="A23" s="69"/>
      <c r="B23" s="70" t="s">
        <v>304</v>
      </c>
      <c r="C23" s="113">
        <v>12180000</v>
      </c>
      <c r="D23" s="113">
        <v>12180000</v>
      </c>
      <c r="E23" s="113">
        <v>6090000</v>
      </c>
      <c r="F23" s="17">
        <f t="shared" si="0"/>
        <v>50</v>
      </c>
      <c r="G23" s="17">
        <f t="shared" si="1"/>
        <v>50</v>
      </c>
      <c r="I23" s="71"/>
    </row>
    <row r="24" spans="1:9" s="72" customFormat="1" ht="18" customHeight="1">
      <c r="A24" s="69"/>
      <c r="B24" s="70" t="s">
        <v>218</v>
      </c>
      <c r="C24" s="113">
        <v>13600000</v>
      </c>
      <c r="D24" s="113">
        <f>13600000+849048</f>
        <v>14449048</v>
      </c>
      <c r="E24" s="113">
        <v>6938800</v>
      </c>
      <c r="F24" s="17">
        <f t="shared" si="0"/>
        <v>51.02058823529412</v>
      </c>
      <c r="G24" s="17">
        <f t="shared" si="1"/>
        <v>48.02254100062509</v>
      </c>
      <c r="I24" s="71"/>
    </row>
    <row r="25" spans="1:8" ht="18" customHeight="1">
      <c r="A25" s="49" t="s">
        <v>97</v>
      </c>
      <c r="B25" s="73" t="s">
        <v>343</v>
      </c>
      <c r="C25" s="68">
        <v>13000000</v>
      </c>
      <c r="D25" s="68">
        <v>13000000</v>
      </c>
      <c r="E25" s="68">
        <v>13000000</v>
      </c>
      <c r="F25" s="17">
        <f t="shared" si="0"/>
        <v>100</v>
      </c>
      <c r="G25" s="17">
        <f t="shared" si="1"/>
        <v>100</v>
      </c>
      <c r="H25" s="31">
        <f>SUM(E25:E28)</f>
        <v>13000000</v>
      </c>
    </row>
    <row r="26" spans="1:9" ht="18" customHeight="1">
      <c r="A26" s="49" t="s">
        <v>97</v>
      </c>
      <c r="B26" s="60" t="s">
        <v>244</v>
      </c>
      <c r="C26" s="68">
        <v>1000000</v>
      </c>
      <c r="D26" s="68">
        <v>1000000</v>
      </c>
      <c r="E26" s="68"/>
      <c r="F26" s="17">
        <f t="shared" si="0"/>
        <v>0</v>
      </c>
      <c r="G26" s="17">
        <f t="shared" si="1"/>
        <v>0</v>
      </c>
      <c r="I26" s="31"/>
    </row>
    <row r="27" spans="1:7" ht="18" customHeight="1">
      <c r="A27" s="49" t="s">
        <v>97</v>
      </c>
      <c r="B27" s="60" t="s">
        <v>326</v>
      </c>
      <c r="C27" s="68">
        <f>10000000-2272285</f>
        <v>7727715</v>
      </c>
      <c r="D27" s="68">
        <f>10000000-2272285</f>
        <v>7727715</v>
      </c>
      <c r="E27" s="68"/>
      <c r="F27" s="17">
        <f t="shared" si="0"/>
        <v>0</v>
      </c>
      <c r="G27" s="17">
        <f t="shared" si="1"/>
        <v>0</v>
      </c>
    </row>
    <row r="28" spans="1:7" ht="18" customHeight="1">
      <c r="A28" s="49" t="s">
        <v>97</v>
      </c>
      <c r="B28" s="60" t="s">
        <v>348</v>
      </c>
      <c r="C28" s="68"/>
      <c r="D28" s="68">
        <v>6357000</v>
      </c>
      <c r="E28" s="68"/>
      <c r="F28" s="17" t="str">
        <f t="shared" si="0"/>
        <v>-</v>
      </c>
      <c r="G28" s="17">
        <f t="shared" si="1"/>
        <v>0</v>
      </c>
    </row>
    <row r="29" spans="1:7" ht="18" customHeight="1">
      <c r="A29" s="49" t="s">
        <v>96</v>
      </c>
      <c r="B29" s="60" t="s">
        <v>327</v>
      </c>
      <c r="C29" s="68">
        <v>5000000</v>
      </c>
      <c r="D29" s="68">
        <v>5000000</v>
      </c>
      <c r="E29" s="68"/>
      <c r="F29" s="17">
        <f t="shared" si="0"/>
        <v>0</v>
      </c>
      <c r="G29" s="17">
        <f t="shared" si="1"/>
        <v>0</v>
      </c>
    </row>
    <row r="30" spans="1:8" ht="18" customHeight="1">
      <c r="A30" s="49" t="s">
        <v>349</v>
      </c>
      <c r="B30" s="60" t="s">
        <v>350</v>
      </c>
      <c r="C30" s="68"/>
      <c r="D30" s="68">
        <v>7000000</v>
      </c>
      <c r="E30" s="68"/>
      <c r="F30" s="17" t="str">
        <f t="shared" si="0"/>
        <v>-</v>
      </c>
      <c r="G30" s="17">
        <f t="shared" si="1"/>
        <v>0</v>
      </c>
      <c r="H30" s="31"/>
    </row>
    <row r="31" spans="1:7" ht="18" customHeight="1">
      <c r="A31" s="32" t="s">
        <v>146</v>
      </c>
      <c r="B31" s="14" t="s">
        <v>132</v>
      </c>
      <c r="C31" s="68">
        <v>2235000</v>
      </c>
      <c r="D31" s="68">
        <v>2235000</v>
      </c>
      <c r="E31" s="68"/>
      <c r="F31" s="17">
        <f t="shared" si="0"/>
        <v>0</v>
      </c>
      <c r="G31" s="17">
        <f t="shared" si="1"/>
        <v>0</v>
      </c>
    </row>
    <row r="32" spans="1:7" ht="18" customHeight="1">
      <c r="A32" s="32"/>
      <c r="B32" s="14"/>
      <c r="C32" s="68"/>
      <c r="D32" s="68"/>
      <c r="E32" s="68"/>
      <c r="F32" s="17"/>
      <c r="G32" s="17"/>
    </row>
    <row r="33" spans="1:7" ht="18" customHeight="1" thickBot="1">
      <c r="A33" s="33"/>
      <c r="B33" s="51" t="s">
        <v>192</v>
      </c>
      <c r="C33" s="114">
        <f>SUM(C3:C32)-SUM(C21:C24)</f>
        <v>404789422</v>
      </c>
      <c r="D33" s="114">
        <f>SUM(D3:D32)-SUM(D21:D24)</f>
        <v>426275470</v>
      </c>
      <c r="E33" s="114">
        <f>SUM(E3:E32)-SUM(E21:E24)</f>
        <v>183894680</v>
      </c>
      <c r="F33" s="36">
        <f t="shared" si="0"/>
        <v>45.42971481107528</v>
      </c>
      <c r="G33" s="36">
        <f t="shared" si="1"/>
        <v>43.13986915550173</v>
      </c>
    </row>
    <row r="35" spans="3:5" ht="18" customHeight="1">
      <c r="C35" s="24"/>
      <c r="D35" s="24"/>
      <c r="E35" s="24"/>
    </row>
    <row r="36" ht="18" customHeight="1">
      <c r="B36" s="26"/>
    </row>
    <row r="42" ht="18" customHeight="1">
      <c r="B42" s="26"/>
    </row>
  </sheetData>
  <printOptions/>
  <pageMargins left="0.41" right="0.17" top="1.17" bottom="0.99" header="0.41" footer="0.2"/>
  <pageSetup firstPageNumber="19" useFirstPageNumber="1" horizontalDpi="360" verticalDpi="360" orientation="portrait" paperSize="9" scale="86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00390625" defaultRowHeight="18" customHeight="1"/>
  <cols>
    <col min="1" max="1" width="6.875" style="21" customWidth="1"/>
    <col min="2" max="2" width="43.125" style="23" customWidth="1"/>
    <col min="3" max="4" width="11.125" style="25" bestFit="1" customWidth="1"/>
    <col min="5" max="5" width="12.875" style="25" bestFit="1" customWidth="1"/>
    <col min="6" max="7" width="10.75390625" style="25" customWidth="1"/>
    <col min="8" max="16384" width="11.00390625" style="22" customWidth="1"/>
  </cols>
  <sheetData>
    <row r="1" spans="1:7" s="44" customFormat="1" ht="18" customHeight="1">
      <c r="A1" s="27" t="s">
        <v>29</v>
      </c>
      <c r="B1" s="28" t="s">
        <v>43</v>
      </c>
      <c r="C1" s="1" t="s">
        <v>357</v>
      </c>
      <c r="D1" s="1" t="s">
        <v>344</v>
      </c>
      <c r="E1" s="98" t="s">
        <v>248</v>
      </c>
      <c r="F1" s="1" t="s">
        <v>46</v>
      </c>
      <c r="G1" s="1" t="s">
        <v>46</v>
      </c>
    </row>
    <row r="2" spans="1:7" s="44" customFormat="1" ht="18" customHeight="1" thickBot="1">
      <c r="A2" s="29" t="s">
        <v>174</v>
      </c>
      <c r="B2" s="30"/>
      <c r="C2" s="33">
        <v>2004</v>
      </c>
      <c r="D2" s="33">
        <v>2004</v>
      </c>
      <c r="E2" s="116">
        <v>38168</v>
      </c>
      <c r="F2" s="7" t="s">
        <v>346</v>
      </c>
      <c r="G2" s="7" t="s">
        <v>355</v>
      </c>
    </row>
    <row r="3" spans="1:7" ht="18" customHeight="1">
      <c r="A3" s="49" t="s">
        <v>129</v>
      </c>
      <c r="B3" s="40" t="s">
        <v>30</v>
      </c>
      <c r="C3" s="41">
        <v>2920400</v>
      </c>
      <c r="D3" s="41">
        <v>2920400</v>
      </c>
      <c r="E3" s="41">
        <v>420000</v>
      </c>
      <c r="F3" s="17">
        <f>IF(C3=0,"-",$E3/C3*100)</f>
        <v>14.381591562799617</v>
      </c>
      <c r="G3" s="17">
        <f>IF(D3=0,"-",$E3/D3*100)</f>
        <v>14.381591562799617</v>
      </c>
    </row>
    <row r="4" spans="1:7" ht="18" customHeight="1">
      <c r="A4" s="49" t="s">
        <v>128</v>
      </c>
      <c r="B4" s="40" t="s">
        <v>306</v>
      </c>
      <c r="C4" s="41">
        <v>28000000</v>
      </c>
      <c r="D4" s="41">
        <v>28000000</v>
      </c>
      <c r="E4" s="41">
        <v>14000008</v>
      </c>
      <c r="F4" s="17">
        <f>IF(C4=0,"-",$E4/C4*100)</f>
        <v>50.000028571428565</v>
      </c>
      <c r="G4" s="17">
        <f>IF(D4=0,"-",$E4/D4*100)</f>
        <v>50.000028571428565</v>
      </c>
    </row>
    <row r="5" spans="1:7" ht="18" customHeight="1">
      <c r="A5" s="32" t="s">
        <v>125</v>
      </c>
      <c r="B5" s="40" t="s">
        <v>38</v>
      </c>
      <c r="C5" s="41">
        <v>2030000</v>
      </c>
      <c r="D5" s="41">
        <v>2030000</v>
      </c>
      <c r="E5" s="41">
        <v>1015001</v>
      </c>
      <c r="F5" s="17">
        <f aca="true" t="shared" si="0" ref="F5:F22">IF(C5=0,"-",$E5/C5*100)</f>
        <v>50.000049261083745</v>
      </c>
      <c r="G5" s="17">
        <f aca="true" t="shared" si="1" ref="G5:G22">IF(D5=0,"-",$E5/D5*100)</f>
        <v>50.000049261083745</v>
      </c>
    </row>
    <row r="6" spans="1:9" ht="18" customHeight="1">
      <c r="A6" s="32" t="s">
        <v>125</v>
      </c>
      <c r="B6" s="40" t="s">
        <v>39</v>
      </c>
      <c r="C6" s="41">
        <v>19500000</v>
      </c>
      <c r="D6" s="41">
        <v>19500000</v>
      </c>
      <c r="E6" s="41">
        <v>9750000</v>
      </c>
      <c r="F6" s="17">
        <f t="shared" si="0"/>
        <v>50</v>
      </c>
      <c r="G6" s="17">
        <f t="shared" si="1"/>
        <v>50</v>
      </c>
      <c r="H6" s="31">
        <f>SUM(E5:E6)</f>
        <v>10765001</v>
      </c>
      <c r="I6" s="31"/>
    </row>
    <row r="7" spans="1:7" ht="18" customHeight="1">
      <c r="A7" s="49" t="s">
        <v>127</v>
      </c>
      <c r="B7" s="40" t="s">
        <v>340</v>
      </c>
      <c r="C7" s="41">
        <v>43300000</v>
      </c>
      <c r="D7" s="41">
        <f>43300000+1300000</f>
        <v>44600000</v>
      </c>
      <c r="E7" s="41">
        <v>24709649</v>
      </c>
      <c r="F7" s="17">
        <f t="shared" si="0"/>
        <v>57.066163972286375</v>
      </c>
      <c r="G7" s="17">
        <f t="shared" si="1"/>
        <v>55.40280044843049</v>
      </c>
    </row>
    <row r="8" spans="1:7" ht="18" customHeight="1">
      <c r="A8" s="49" t="s">
        <v>126</v>
      </c>
      <c r="B8" s="40" t="s">
        <v>37</v>
      </c>
      <c r="C8" s="41">
        <v>7500000</v>
      </c>
      <c r="D8" s="41">
        <v>7500000</v>
      </c>
      <c r="E8" s="41">
        <v>2540000</v>
      </c>
      <c r="F8" s="17">
        <f t="shared" si="0"/>
        <v>33.86666666666667</v>
      </c>
      <c r="G8" s="17">
        <f t="shared" si="1"/>
        <v>33.86666666666667</v>
      </c>
    </row>
    <row r="9" spans="1:8" ht="18" customHeight="1">
      <c r="A9" s="32" t="s">
        <v>124</v>
      </c>
      <c r="B9" s="40" t="s">
        <v>307</v>
      </c>
      <c r="C9" s="41">
        <v>48000000</v>
      </c>
      <c r="D9" s="41">
        <v>48000000</v>
      </c>
      <c r="E9" s="41">
        <v>26223569</v>
      </c>
      <c r="F9" s="17">
        <f t="shared" si="0"/>
        <v>54.63243541666667</v>
      </c>
      <c r="G9" s="17">
        <f t="shared" si="1"/>
        <v>54.63243541666667</v>
      </c>
      <c r="H9" s="31">
        <f>SUM(E9:E13)</f>
        <v>34744552</v>
      </c>
    </row>
    <row r="10" spans="1:7" ht="18" customHeight="1">
      <c r="A10" s="32" t="s">
        <v>124</v>
      </c>
      <c r="B10" s="40" t="s">
        <v>308</v>
      </c>
      <c r="C10" s="41">
        <v>6700000</v>
      </c>
      <c r="D10" s="41">
        <v>6700000</v>
      </c>
      <c r="E10" s="41">
        <v>3703992</v>
      </c>
      <c r="F10" s="17">
        <f t="shared" si="0"/>
        <v>55.28346268656716</v>
      </c>
      <c r="G10" s="17">
        <f t="shared" si="1"/>
        <v>55.28346268656716</v>
      </c>
    </row>
    <row r="11" spans="1:7" ht="18" customHeight="1">
      <c r="A11" s="32" t="s">
        <v>124</v>
      </c>
      <c r="B11" s="40" t="s">
        <v>309</v>
      </c>
      <c r="C11" s="41">
        <v>9429502</v>
      </c>
      <c r="D11" s="41">
        <v>9429502</v>
      </c>
      <c r="E11" s="41">
        <v>3216991</v>
      </c>
      <c r="F11" s="17">
        <f t="shared" si="0"/>
        <v>34.116234346204074</v>
      </c>
      <c r="G11" s="17">
        <f t="shared" si="1"/>
        <v>34.116234346204074</v>
      </c>
    </row>
    <row r="12" spans="1:7" ht="18" customHeight="1">
      <c r="A12" s="32" t="s">
        <v>124</v>
      </c>
      <c r="B12" s="40" t="s">
        <v>321</v>
      </c>
      <c r="C12" s="41">
        <v>2000000</v>
      </c>
      <c r="D12" s="41">
        <v>2000000</v>
      </c>
      <c r="E12" s="41">
        <v>1000000</v>
      </c>
      <c r="F12" s="17">
        <f t="shared" si="0"/>
        <v>50</v>
      </c>
      <c r="G12" s="17">
        <f t="shared" si="1"/>
        <v>50</v>
      </c>
    </row>
    <row r="13" spans="1:7" ht="18" customHeight="1">
      <c r="A13" s="32" t="s">
        <v>124</v>
      </c>
      <c r="B13" s="40" t="s">
        <v>322</v>
      </c>
      <c r="C13" s="41">
        <v>1000000</v>
      </c>
      <c r="D13" s="41">
        <v>1000000</v>
      </c>
      <c r="E13" s="41">
        <v>600000</v>
      </c>
      <c r="F13" s="17">
        <f t="shared" si="0"/>
        <v>60</v>
      </c>
      <c r="G13" s="17">
        <f t="shared" si="1"/>
        <v>60</v>
      </c>
    </row>
    <row r="14" spans="1:7" ht="18" customHeight="1">
      <c r="A14" s="49" t="s">
        <v>123</v>
      </c>
      <c r="B14" s="40" t="s">
        <v>345</v>
      </c>
      <c r="C14" s="41">
        <v>39849000</v>
      </c>
      <c r="D14" s="41">
        <v>39849000</v>
      </c>
      <c r="E14" s="41">
        <v>15458168</v>
      </c>
      <c r="F14" s="17">
        <f t="shared" si="0"/>
        <v>38.79185926873949</v>
      </c>
      <c r="G14" s="17">
        <f t="shared" si="1"/>
        <v>38.79185926873949</v>
      </c>
    </row>
    <row r="15" spans="1:7" ht="18" customHeight="1">
      <c r="A15" s="49" t="s">
        <v>122</v>
      </c>
      <c r="B15" s="40" t="s">
        <v>262</v>
      </c>
      <c r="C15" s="41">
        <v>60000000</v>
      </c>
      <c r="D15" s="41">
        <f>60000000+21500000</f>
        <v>81500000</v>
      </c>
      <c r="E15" s="41">
        <v>55000000</v>
      </c>
      <c r="F15" s="17">
        <f t="shared" si="0"/>
        <v>91.66666666666666</v>
      </c>
      <c r="G15" s="17">
        <f t="shared" si="1"/>
        <v>67.48466257668711</v>
      </c>
    </row>
    <row r="16" spans="1:7" ht="18" customHeight="1">
      <c r="A16" s="32" t="s">
        <v>136</v>
      </c>
      <c r="B16" s="14" t="s">
        <v>263</v>
      </c>
      <c r="C16" s="41">
        <v>1785000</v>
      </c>
      <c r="D16" s="41">
        <v>1785000</v>
      </c>
      <c r="E16" s="41"/>
      <c r="F16" s="17">
        <f t="shared" si="0"/>
        <v>0</v>
      </c>
      <c r="G16" s="17">
        <f t="shared" si="1"/>
        <v>0</v>
      </c>
    </row>
    <row r="17" spans="1:7" ht="18" customHeight="1">
      <c r="A17" s="32" t="s">
        <v>137</v>
      </c>
      <c r="B17" s="14" t="s">
        <v>220</v>
      </c>
      <c r="C17" s="41">
        <v>10000000</v>
      </c>
      <c r="D17" s="41">
        <f>10000000+1000000</f>
        <v>11000000</v>
      </c>
      <c r="E17" s="41">
        <v>4045225</v>
      </c>
      <c r="F17" s="17">
        <f t="shared" si="0"/>
        <v>40.45225</v>
      </c>
      <c r="G17" s="17">
        <f t="shared" si="1"/>
        <v>36.774772727272726</v>
      </c>
    </row>
    <row r="18" spans="1:7" ht="18" customHeight="1">
      <c r="A18" s="49" t="s">
        <v>138</v>
      </c>
      <c r="B18" s="40" t="s">
        <v>186</v>
      </c>
      <c r="C18" s="41">
        <v>7500000</v>
      </c>
      <c r="D18" s="41">
        <f>7500000+4000000</f>
        <v>11500000</v>
      </c>
      <c r="E18" s="41">
        <v>7560496</v>
      </c>
      <c r="F18" s="17">
        <f t="shared" si="0"/>
        <v>100.80661333333335</v>
      </c>
      <c r="G18" s="17">
        <f t="shared" si="1"/>
        <v>65.74344347826087</v>
      </c>
    </row>
    <row r="19" spans="1:7" ht="18" customHeight="1">
      <c r="A19" s="49" t="s">
        <v>152</v>
      </c>
      <c r="B19" s="40" t="s">
        <v>246</v>
      </c>
      <c r="C19" s="41">
        <v>35000000</v>
      </c>
      <c r="D19" s="41">
        <f>29500000+5500000-1300000</f>
        <v>33700000</v>
      </c>
      <c r="E19" s="41">
        <v>16048858</v>
      </c>
      <c r="F19" s="17">
        <f t="shared" si="0"/>
        <v>45.853880000000004</v>
      </c>
      <c r="G19" s="17">
        <f t="shared" si="1"/>
        <v>47.62272403560831</v>
      </c>
    </row>
    <row r="20" spans="1:7" ht="18" customHeight="1">
      <c r="A20" s="49"/>
      <c r="B20" s="50" t="s">
        <v>247</v>
      </c>
      <c r="C20" s="41"/>
      <c r="D20" s="41"/>
      <c r="E20" s="41"/>
      <c r="F20" s="17" t="str">
        <f t="shared" si="0"/>
        <v>-</v>
      </c>
      <c r="G20" s="17" t="str">
        <f t="shared" si="1"/>
        <v>-</v>
      </c>
    </row>
    <row r="21" spans="1:7" ht="18" customHeight="1">
      <c r="A21" s="49" t="s">
        <v>332</v>
      </c>
      <c r="B21" s="14" t="s">
        <v>333</v>
      </c>
      <c r="C21" s="41">
        <v>5000000</v>
      </c>
      <c r="D21" s="41">
        <v>5000000</v>
      </c>
      <c r="E21" s="41">
        <v>1087930</v>
      </c>
      <c r="F21" s="17">
        <f t="shared" si="0"/>
        <v>21.7586</v>
      </c>
      <c r="G21" s="17">
        <f t="shared" si="1"/>
        <v>21.7586</v>
      </c>
    </row>
    <row r="22" spans="1:7" ht="18" customHeight="1" thickBot="1">
      <c r="A22" s="3"/>
      <c r="B22" s="51" t="s">
        <v>191</v>
      </c>
      <c r="C22" s="42">
        <f>SUM(C3:C21)</f>
        <v>329513902</v>
      </c>
      <c r="D22" s="42">
        <f>SUM(D3:D21)</f>
        <v>356013902</v>
      </c>
      <c r="E22" s="42">
        <f>SUM(E3:E21)</f>
        <v>186379887</v>
      </c>
      <c r="F22" s="36">
        <f t="shared" si="0"/>
        <v>56.56207093805712</v>
      </c>
      <c r="G22" s="36">
        <f t="shared" si="1"/>
        <v>52.35185647329019</v>
      </c>
    </row>
    <row r="23" spans="1:7" ht="18" customHeight="1">
      <c r="A23" s="52"/>
      <c r="B23" s="53"/>
      <c r="C23" s="54"/>
      <c r="D23" s="54"/>
      <c r="E23" s="54"/>
      <c r="F23" s="55"/>
      <c r="G23" s="55"/>
    </row>
    <row r="24" spans="1:7" ht="18" customHeight="1">
      <c r="A24" s="56"/>
      <c r="B24" s="57"/>
      <c r="C24" s="58"/>
      <c r="D24" s="58"/>
      <c r="E24" s="58"/>
      <c r="F24" s="59"/>
      <c r="G24" s="59"/>
    </row>
    <row r="25" spans="1:7" ht="18" customHeight="1">
      <c r="A25" s="56"/>
      <c r="B25" s="60"/>
      <c r="C25" s="61"/>
      <c r="D25" s="61"/>
      <c r="E25" s="61"/>
      <c r="F25" s="59"/>
      <c r="G25" s="59"/>
    </row>
    <row r="26" spans="1:7" ht="18" customHeight="1">
      <c r="A26" s="56"/>
      <c r="B26" s="62"/>
      <c r="C26" s="58"/>
      <c r="D26" s="58"/>
      <c r="E26" s="58"/>
      <c r="F26" s="63"/>
      <c r="G26" s="63"/>
    </row>
    <row r="27" spans="1:7" ht="18" customHeight="1">
      <c r="A27" s="56"/>
      <c r="B27" s="57"/>
      <c r="C27" s="58"/>
      <c r="D27" s="58"/>
      <c r="E27" s="58"/>
      <c r="F27" s="59"/>
      <c r="G27" s="59"/>
    </row>
    <row r="28" spans="1:7" ht="18" customHeight="1">
      <c r="A28" s="56"/>
      <c r="B28" s="62"/>
      <c r="C28" s="58"/>
      <c r="D28" s="58"/>
      <c r="E28" s="58"/>
      <c r="F28" s="63"/>
      <c r="G28" s="63"/>
    </row>
    <row r="34" ht="18" customHeight="1">
      <c r="B34" s="26"/>
    </row>
    <row r="36" ht="18" customHeight="1">
      <c r="B36" s="26"/>
    </row>
    <row r="40" ht="18" customHeight="1">
      <c r="B40" s="26"/>
    </row>
    <row r="43" ht="18" customHeight="1">
      <c r="B43" s="26"/>
    </row>
    <row r="48" ht="18" customHeight="1">
      <c r="B48" s="26"/>
    </row>
  </sheetData>
  <printOptions/>
  <pageMargins left="0.38" right="0.17" top="1.17" bottom="1.01" header="0.41" footer="0.5511811023622047"/>
  <pageSetup firstPageNumber="20" useFirstPageNumber="1" horizontalDpi="360" verticalDpi="360" orientation="portrait" paperSize="9" scale="94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Nova 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 Nova Gorica</dc:creator>
  <cp:keywords/>
  <dc:description/>
  <cp:lastModifiedBy>gabrijel</cp:lastModifiedBy>
  <cp:lastPrinted>2004-07-08T11:20:32Z</cp:lastPrinted>
  <dcterms:created xsi:type="dcterms:W3CDTF">1999-04-13T10:37:05Z</dcterms:created>
  <dcterms:modified xsi:type="dcterms:W3CDTF">2003-03-11T12:46:28Z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