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tabRatio="884" activeTab="0"/>
  </bookViews>
  <sheets>
    <sheet name="1. MESTNA UPRAVA" sheetId="1" r:id="rId1"/>
    <sheet name="2. CIVILNA ZAŠČITA , GASILCI" sheetId="2" r:id="rId2"/>
    <sheet name="3. INFRASTRUKTURA" sheetId="3" r:id="rId3"/>
    <sheet name="4. OKOLJE IN PROSTOR" sheetId="4" r:id="rId4"/>
    <sheet name="5. GOSPODARSTVO" sheetId="5" r:id="rId5"/>
    <sheet name="6. ŠOLSTVO" sheetId="6" r:id="rId6"/>
    <sheet name="7. OTROŠKO VARSTVO" sheetId="7" r:id="rId7"/>
    <sheet name="8. KULTURA" sheetId="8" r:id="rId8"/>
    <sheet name="9. ŠPORT" sheetId="9" r:id="rId9"/>
    <sheet name="10. SOCIALNO VARSTVO" sheetId="10" r:id="rId10"/>
    <sheet name="11. ZDRAVSTVO" sheetId="11" r:id="rId11"/>
    <sheet name="12. MLADINSKA DEJAVNOST" sheetId="12" r:id="rId12"/>
    <sheet name="13. SPLOŠNI DEL" sheetId="13" r:id="rId13"/>
  </sheets>
  <definedNames>
    <definedName name="_xlnm.Print_Area" localSheetId="0">'1. MESTNA UPRAVA'!$A$1:$G$30</definedName>
    <definedName name="_xlnm.Print_Area" localSheetId="9">'10. SOCIALNO VARSTVO'!$A$1:$G$26</definedName>
    <definedName name="_xlnm.Print_Area" localSheetId="10">'11. ZDRAVSTVO'!$A$1:$G$12</definedName>
    <definedName name="_xlnm.Print_Area" localSheetId="11">'12. MLADINSKA DEJAVNOST'!$A$1:$G$14</definedName>
    <definedName name="_xlnm.Print_Area" localSheetId="12">'13. SPLOŠNI DEL'!$A$1:$G$46</definedName>
    <definedName name="_xlnm.Print_Area" localSheetId="1">'2. CIVILNA ZAŠČITA , GASILCI'!$A$1:$G$23</definedName>
    <definedName name="_xlnm.Print_Area" localSheetId="2">'3. INFRASTRUKTURA'!$A$1:$G$36</definedName>
    <definedName name="_xlnm.Print_Area" localSheetId="3">'4. OKOLJE IN PROSTOR'!$A$1:$G$12</definedName>
    <definedName name="_xlnm.Print_Area" localSheetId="4">'5. GOSPODARSTVO'!$A$1:$G$40</definedName>
    <definedName name="_xlnm.Print_Area" localSheetId="5">'6. ŠOLSTVO'!$A$1:$G$27</definedName>
    <definedName name="_xlnm.Print_Area" localSheetId="6">'7. OTROŠKO VARSTVO'!$A$1:$G$16</definedName>
    <definedName name="_xlnm.Print_Area" localSheetId="7">'8. KULTURA'!$A$1:$G$47</definedName>
    <definedName name="_xlnm.Print_Area" localSheetId="8">'9. ŠPORT'!$A$1:$G$35</definedName>
    <definedName name="_xlnm.Print_Titles" localSheetId="0">'1. MESTNA UPRAVA'!$1:$2</definedName>
    <definedName name="_xlnm.Print_Titles" localSheetId="12">'13. SPLOŠNI DEL'!$1:$2</definedName>
    <definedName name="_xlnm.Print_Titles" localSheetId="2">'3. INFRASTRUKTURA'!$1:$2</definedName>
    <definedName name="_xlnm.Print_Titles" localSheetId="4">'5. GOSPODARSTVO'!$1:$2</definedName>
    <definedName name="_xlnm.Print_Titles" localSheetId="5">'6. ŠOLSTVO'!$1:$2</definedName>
    <definedName name="_xlnm.Print_Titles" localSheetId="7">'8. KULTURA'!$1:$2</definedName>
  </definedNames>
  <calcPr fullCalcOnLoad="1"/>
</workbook>
</file>

<file path=xl/comments9.xml><?xml version="1.0" encoding="utf-8"?>
<comments xmlns="http://schemas.openxmlformats.org/spreadsheetml/2006/main">
  <authors>
    <author>gabrijel</author>
  </authors>
  <commentList>
    <comment ref="E13" authorId="0">
      <text>
        <r>
          <rPr>
            <b/>
            <sz val="8"/>
            <rFont val="Tahoma"/>
            <family val="0"/>
          </rPr>
          <t>gabrijel:</t>
        </r>
        <r>
          <rPr>
            <sz val="8"/>
            <rFont val="Tahoma"/>
            <family val="0"/>
          </rPr>
          <t xml:space="preserve">
IZGUBA 3 MIO ni
indeksirana</t>
        </r>
      </text>
    </comment>
  </commentList>
</comments>
</file>

<file path=xl/sharedStrings.xml><?xml version="1.0" encoding="utf-8"?>
<sst xmlns="http://schemas.openxmlformats.org/spreadsheetml/2006/main" count="697" uniqueCount="457">
  <si>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</si>
  <si>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</si>
  <si>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</si>
  <si>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</si>
  <si>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</si>
  <si>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po pogodbi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</si>
  <si>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</si>
  <si>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</si>
  <si>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</si>
  <si>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</si>
  <si>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</si>
  <si>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</si>
  <si>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</si>
  <si>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Kazni in odškodnine</t>
  </si>
  <si>
    <t>Drugi operativni odhodki</t>
  </si>
  <si>
    <t>Nakup opreme</t>
  </si>
  <si>
    <t>Investicijsko vzdrževanje in obnove</t>
  </si>
  <si>
    <t>Investicijsko vzdrževanje in izboljšave</t>
  </si>
  <si>
    <t>Pogrebni stroški in mrtvoogledna služba</t>
  </si>
  <si>
    <t>Vzdrževanje grobišč in spomenikov</t>
  </si>
  <si>
    <t>Zveza potrošnikov</t>
  </si>
  <si>
    <t>Obveznost do občin po delitveni bilanci</t>
  </si>
  <si>
    <t>Ekologija</t>
  </si>
  <si>
    <t>Plačilo javne razsvetljave</t>
  </si>
  <si>
    <t>Subvencije za prevoz pitne vode</t>
  </si>
  <si>
    <t>Subvencije za kritje izgub v javnem prometu</t>
  </si>
  <si>
    <t>Sofinanciranje azila za pse</t>
  </si>
  <si>
    <t>Financiranje političnih strank</t>
  </si>
  <si>
    <t>Zveza združenj borcev NOV</t>
  </si>
  <si>
    <t>Drugi stroški proračuna</t>
  </si>
  <si>
    <t xml:space="preserve"> </t>
  </si>
  <si>
    <t>Redno vzdrževanje lokalnih cest in ulic</t>
  </si>
  <si>
    <t>Sanacija nelegalnih odlagališč</t>
  </si>
  <si>
    <t>Občinske nagrade</t>
  </si>
  <si>
    <t>POSTAV.</t>
  </si>
  <si>
    <t>PRORAČ.</t>
  </si>
  <si>
    <t>Drugi odhodki dejavnosti</t>
  </si>
  <si>
    <t>Primorska srečanja</t>
  </si>
  <si>
    <t>Samostojni nosilci</t>
  </si>
  <si>
    <t>Od tega:</t>
  </si>
  <si>
    <t xml:space="preserve">GORIŠKA KNJIŽNICA                       </t>
  </si>
  <si>
    <t>KULTURNI DOM</t>
  </si>
  <si>
    <t>Nakup prostorov Mladinskega centra</t>
  </si>
  <si>
    <t>Tekoči transf.- sred.za plače - VRTCEV</t>
  </si>
  <si>
    <t>Tekoči transf.- sred.za prisp. - VRTCEV</t>
  </si>
  <si>
    <t>Subvencije stanarin</t>
  </si>
  <si>
    <t>Humanitarna društva</t>
  </si>
  <si>
    <t>Preprečevanje zasvojenosti</t>
  </si>
  <si>
    <t>Večje prireditve</t>
  </si>
  <si>
    <t>Tekoči transf.neprof.org.-sred. najemnin in drugo</t>
  </si>
  <si>
    <t>OZOTK služba</t>
  </si>
  <si>
    <t>OZOTK program</t>
  </si>
  <si>
    <t>Sredstva za kotalkališče Renče</t>
  </si>
  <si>
    <t>Program CINDI</t>
  </si>
  <si>
    <t>Klub goriških študentov</t>
  </si>
  <si>
    <t>Nakup prevoznih sredstev</t>
  </si>
  <si>
    <t>Rdeči križ - stroški najema skladišča</t>
  </si>
  <si>
    <t>RAČUN FINANČNIH TERJATEV IN NALOŽB</t>
  </si>
  <si>
    <t>Drugi odhodki iz stanovanjskih sredstev</t>
  </si>
  <si>
    <t>O P I S</t>
  </si>
  <si>
    <t>01,03</t>
  </si>
  <si>
    <t>01,01</t>
  </si>
  <si>
    <t>INDEKS</t>
  </si>
  <si>
    <t>13,01</t>
  </si>
  <si>
    <t>13,21</t>
  </si>
  <si>
    <t>13,20</t>
  </si>
  <si>
    <t>13,13</t>
  </si>
  <si>
    <t>13,14</t>
  </si>
  <si>
    <t>13,15</t>
  </si>
  <si>
    <t>13,19</t>
  </si>
  <si>
    <t>13,16</t>
  </si>
  <si>
    <t>13,18</t>
  </si>
  <si>
    <t>01,02</t>
  </si>
  <si>
    <t>02,11</t>
  </si>
  <si>
    <t>02,09</t>
  </si>
  <si>
    <t>02,01</t>
  </si>
  <si>
    <t>02,07</t>
  </si>
  <si>
    <t>02,06</t>
  </si>
  <si>
    <t>02,05</t>
  </si>
  <si>
    <t>02,04</t>
  </si>
  <si>
    <t>02,03</t>
  </si>
  <si>
    <t>02,02</t>
  </si>
  <si>
    <t>03,24</t>
  </si>
  <si>
    <t>03,23</t>
  </si>
  <si>
    <t>03,21</t>
  </si>
  <si>
    <t>03,20</t>
  </si>
  <si>
    <t>03,07</t>
  </si>
  <si>
    <t>03,18</t>
  </si>
  <si>
    <t>03,17</t>
  </si>
  <si>
    <t>03,16</t>
  </si>
  <si>
    <t>03,15</t>
  </si>
  <si>
    <t>03,14</t>
  </si>
  <si>
    <t>03,13</t>
  </si>
  <si>
    <t>03,12</t>
  </si>
  <si>
    <t>03,11</t>
  </si>
  <si>
    <t>03,10</t>
  </si>
  <si>
    <t>03,09</t>
  </si>
  <si>
    <t>03,08</t>
  </si>
  <si>
    <t>03,06</t>
  </si>
  <si>
    <t>03,05</t>
  </si>
  <si>
    <t>03,04</t>
  </si>
  <si>
    <t>03,03</t>
  </si>
  <si>
    <t>03,02</t>
  </si>
  <si>
    <t>03,01</t>
  </si>
  <si>
    <r>
      <t>04,03</t>
    </r>
  </si>
  <si>
    <r>
      <t>04,02</t>
    </r>
  </si>
  <si>
    <t>04,01</t>
  </si>
  <si>
    <t>05,08</t>
  </si>
  <si>
    <t>05,07</t>
  </si>
  <si>
    <t>05,09</t>
  </si>
  <si>
    <t>05,06</t>
  </si>
  <si>
    <r>
      <t>05,05</t>
    </r>
  </si>
  <si>
    <t>05,04</t>
  </si>
  <si>
    <r>
      <t>05,03</t>
    </r>
  </si>
  <si>
    <t>05,02</t>
  </si>
  <si>
    <t>05,01</t>
  </si>
  <si>
    <t>08,15</t>
  </si>
  <si>
    <t>08,13</t>
  </si>
  <si>
    <t>08,12</t>
  </si>
  <si>
    <t>08,11</t>
  </si>
  <si>
    <t>08,10</t>
  </si>
  <si>
    <t>08,09</t>
  </si>
  <si>
    <t>08,08</t>
  </si>
  <si>
    <t>08,07</t>
  </si>
  <si>
    <t>08,06</t>
  </si>
  <si>
    <t>08,05</t>
  </si>
  <si>
    <t>08,04</t>
  </si>
  <si>
    <t>08,03</t>
  </si>
  <si>
    <t>08,02</t>
  </si>
  <si>
    <t>08,01</t>
  </si>
  <si>
    <t>06,14</t>
  </si>
  <si>
    <t>06,11</t>
  </si>
  <si>
    <t>06,10</t>
  </si>
  <si>
    <t>06,09</t>
  </si>
  <si>
    <t>06,08</t>
  </si>
  <si>
    <t>06,07</t>
  </si>
  <si>
    <t>06,13</t>
  </si>
  <si>
    <t>06,05</t>
  </si>
  <si>
    <t>06,03</t>
  </si>
  <si>
    <t>06,02</t>
  </si>
  <si>
    <t>06,01</t>
  </si>
  <si>
    <t>07,01</t>
  </si>
  <si>
    <t>07,02</t>
  </si>
  <si>
    <t>07,03</t>
  </si>
  <si>
    <t>07,04</t>
  </si>
  <si>
    <t>07,05</t>
  </si>
  <si>
    <t>09,14</t>
  </si>
  <si>
    <t>09,12</t>
  </si>
  <si>
    <t>09,08</t>
  </si>
  <si>
    <t>09,07</t>
  </si>
  <si>
    <t>09,03</t>
  </si>
  <si>
    <t>09,06</t>
  </si>
  <si>
    <t>09,05</t>
  </si>
  <si>
    <t>09,04</t>
  </si>
  <si>
    <t>09,02</t>
  </si>
  <si>
    <t>09,01</t>
  </si>
  <si>
    <t>13,22</t>
  </si>
  <si>
    <t>Novoletne obdaritve</t>
  </si>
  <si>
    <t>Vlaganja MO NG v gospodarske družbe</t>
  </si>
  <si>
    <t>07,06</t>
  </si>
  <si>
    <t>Izgradnja igrišč</t>
  </si>
  <si>
    <t>Ureditev parka ob gradu Kromberk</t>
  </si>
  <si>
    <t>09,10</t>
  </si>
  <si>
    <t>Splošna proračunska rezervacija</t>
  </si>
  <si>
    <t>13,23</t>
  </si>
  <si>
    <t>Sofinanciranje SAZU</t>
  </si>
  <si>
    <t>05,11</t>
  </si>
  <si>
    <t>05,13</t>
  </si>
  <si>
    <t>05,15</t>
  </si>
  <si>
    <t>05,17</t>
  </si>
  <si>
    <t>09,15</t>
  </si>
  <si>
    <t>09,16</t>
  </si>
  <si>
    <t>09,17</t>
  </si>
  <si>
    <t>05,18</t>
  </si>
  <si>
    <t>05,20</t>
  </si>
  <si>
    <t>Proračunska rezerva</t>
  </si>
  <si>
    <t xml:space="preserve">Stanovanjski sklad MO Nova Gorica </t>
  </si>
  <si>
    <t>Investicijsko vzdrževanje  PRILOGA 10</t>
  </si>
  <si>
    <t>Financiranje delovanja KS  PRILOGA 11</t>
  </si>
  <si>
    <t>08,17</t>
  </si>
  <si>
    <t xml:space="preserve">Stroški oglaševalskih storitev </t>
  </si>
  <si>
    <t xml:space="preserve"> -najemnine</t>
  </si>
  <si>
    <t xml:space="preserve"> -pokroviteljstva in sponzorstva</t>
  </si>
  <si>
    <t>Nakup zemljišč za obvoznico Solkan</t>
  </si>
  <si>
    <t>08,18</t>
  </si>
  <si>
    <t>Nakup specialnega gasilskega vozila</t>
  </si>
  <si>
    <t>Regresiranje prevozov  v šolo</t>
  </si>
  <si>
    <t>Sklad za izobraževanje</t>
  </si>
  <si>
    <t>Najemnina prostorov za visoko šolstvo</t>
  </si>
  <si>
    <t>Štipendije</t>
  </si>
  <si>
    <t>06,15</t>
  </si>
  <si>
    <t>Združenje častnikov Slovenije</t>
  </si>
  <si>
    <t>09,18</t>
  </si>
  <si>
    <t>Združenje veteranov vojne za Slovenijo</t>
  </si>
  <si>
    <t>Dana posojila javnim podjetjem</t>
  </si>
  <si>
    <t xml:space="preserve">Nakup zemljišč </t>
  </si>
  <si>
    <t>Ureditev rolkarskega poligona</t>
  </si>
  <si>
    <t>Sofinanciranje ambulante Čepovan</t>
  </si>
  <si>
    <t xml:space="preserve"> -odlikovanja, protokol,simboli ,darila in nabave</t>
  </si>
  <si>
    <t>GK - za nakup knjig</t>
  </si>
  <si>
    <t>Pomoč na domu</t>
  </si>
  <si>
    <t>Protokolarne zadeve:</t>
  </si>
  <si>
    <t>PDG - investicija v nadoderne vlake</t>
  </si>
  <si>
    <t>Mala šola in cicibanove urice</t>
  </si>
  <si>
    <t>Sred.za ured.centra pomoči na domu - CSD</t>
  </si>
  <si>
    <t>04,04</t>
  </si>
  <si>
    <t>01,04</t>
  </si>
  <si>
    <t>01,05</t>
  </si>
  <si>
    <t>01,06</t>
  </si>
  <si>
    <t>01,07</t>
  </si>
  <si>
    <t>01,08</t>
  </si>
  <si>
    <t>01,09</t>
  </si>
  <si>
    <t>01,10</t>
  </si>
  <si>
    <t>01,11</t>
  </si>
  <si>
    <t>01,12</t>
  </si>
  <si>
    <t>01,13</t>
  </si>
  <si>
    <t>KULTURNI DOM - galerijska dejavnost</t>
  </si>
  <si>
    <t>09,19</t>
  </si>
  <si>
    <t>Ureditev rekreativnih poti v Panovcu</t>
  </si>
  <si>
    <t>13,10</t>
  </si>
  <si>
    <t>13,11</t>
  </si>
  <si>
    <t>13,12</t>
  </si>
  <si>
    <t>13,17</t>
  </si>
  <si>
    <t>13,24</t>
  </si>
  <si>
    <t>13,26</t>
  </si>
  <si>
    <t>POST.</t>
  </si>
  <si>
    <t>Plačila po pogodbah o delu - Mestni svet</t>
  </si>
  <si>
    <t>06,04</t>
  </si>
  <si>
    <t>Prireditve v okviru KS Nova Gorica</t>
  </si>
  <si>
    <t>Mednarodno sodelovanje in sub. Evropske hiše</t>
  </si>
  <si>
    <t>Akcije v kulturi  - PRILOGA 7</t>
  </si>
  <si>
    <t>Tek. transf.- sred.za blago,stor.-VRTCEV</t>
  </si>
  <si>
    <t>Projekt "E - občina"</t>
  </si>
  <si>
    <t>05,21</t>
  </si>
  <si>
    <t>Vnovčena garancija - Pohištvo Čepovan</t>
  </si>
  <si>
    <t>09,20</t>
  </si>
  <si>
    <t>Cisterna za prevoz pitne vode - PGD Dornberk</t>
  </si>
  <si>
    <t>01,14</t>
  </si>
  <si>
    <t>Sofinanciranje informativnih oddaj in člankov</t>
  </si>
  <si>
    <t>Cenitve, natečaji, stroški postopkov</t>
  </si>
  <si>
    <t xml:space="preserve"> -proslave, pogostitve, sprejemi</t>
  </si>
  <si>
    <t xml:space="preserve"> -občinski praznik (prireditve, sprejemi)</t>
  </si>
  <si>
    <t>Svet za preventivo in vzgojo v cestnem prometu</t>
  </si>
  <si>
    <t>Regresiranje socialno šibkih</t>
  </si>
  <si>
    <t>Regresiranje oskrbe v domovih ostarelih</t>
  </si>
  <si>
    <t>Skupni program Športne zveze   PRILOGA 8</t>
  </si>
  <si>
    <t>Sredstva za vzdrževanje igrišč</t>
  </si>
  <si>
    <t>Sredstva za trafo postajo v športnem parku</t>
  </si>
  <si>
    <t>Doplačilo za otroke v drugih občinah</t>
  </si>
  <si>
    <t>Sofinciranje LJUDSKE UNIVERZE</t>
  </si>
  <si>
    <t>Invest. vzdrževnje in izboljšave - PRILOGA 17</t>
  </si>
  <si>
    <t>Investicije - računalniška oprema učilnic</t>
  </si>
  <si>
    <t>Sofinanciranje srednješolskih programov</t>
  </si>
  <si>
    <t xml:space="preserve">VSE SKUPAJ   </t>
  </si>
  <si>
    <t xml:space="preserve">SKUPAJ   </t>
  </si>
  <si>
    <t xml:space="preserve"> SKUPAJ   </t>
  </si>
  <si>
    <t>Pogram"Tisoč novih možnosti", "DOM"</t>
  </si>
  <si>
    <t>Projekti za investicije ZD N.Gorica, Dornberk</t>
  </si>
  <si>
    <t>Program zaščite živali, azil za pse</t>
  </si>
  <si>
    <t>Najemnina kinodvorane - KD</t>
  </si>
  <si>
    <t>Kulturni dom,galerija - nabava opreme, investicije</t>
  </si>
  <si>
    <t>Investic. vzd. in izboljš.(GK,KD,ZKD,GM,galerija)</t>
  </si>
  <si>
    <t>Prispevki za zdravstveno zavarovanje</t>
  </si>
  <si>
    <t>Prispevki za zaposlovanje</t>
  </si>
  <si>
    <t>Prispevki za porodniško varstvo</t>
  </si>
  <si>
    <t>Subvencije dolga javnim podjetjem - KENOG</t>
  </si>
  <si>
    <t>Goriški muzej - obnova Vile Bartolomej</t>
  </si>
  <si>
    <t>Plačilo komunalnih storitev (splošna dejavnost)</t>
  </si>
  <si>
    <t>Urejanje stavbnih zemljišč - PRILOGA 15</t>
  </si>
  <si>
    <t>Širitev mreže javne razsvetljave - PRILOGA 16</t>
  </si>
  <si>
    <t>Urejanje mesta - PRILOGA 2</t>
  </si>
  <si>
    <t>Sofinanciranje vzdrževalnih del na gozdnih poteh</t>
  </si>
  <si>
    <t>Sofinanciranje vzdrževanja železniških prehodov</t>
  </si>
  <si>
    <t>Kom.obj., razsvetl., spl.kom.d. v KS PRILOGA 14</t>
  </si>
  <si>
    <t>Priprava razvojnih programov - projekti EU</t>
  </si>
  <si>
    <t>05,16</t>
  </si>
  <si>
    <t>Zaščita in urejanje šolskih površin</t>
  </si>
  <si>
    <t>Sredstva za izvajanje programa vinske ceste</t>
  </si>
  <si>
    <t>Subvencije v kmetijstvo - regresiranje</t>
  </si>
  <si>
    <t>Sofinanciranje projektov s področja kmetijstva</t>
  </si>
  <si>
    <t>Sredstva za programe Turistična zveze</t>
  </si>
  <si>
    <t>Sredstva za programe - Turistična društva</t>
  </si>
  <si>
    <t>Ureditev prostorov in stroški delovanja TIC</t>
  </si>
  <si>
    <t>Odškodnina za poslovni delež Primorskih novic</t>
  </si>
  <si>
    <t xml:space="preserve">Tekoči transferi - sredstva za plače </t>
  </si>
  <si>
    <t>Tekoči transferi - sredstva za prispevke</t>
  </si>
  <si>
    <t>Tekoči transferi - sredstva za blago in storitve</t>
  </si>
  <si>
    <t>Izdelava projektov za izgradnjo  p. šole v Prvačini</t>
  </si>
  <si>
    <t>Sredstva za opremljanje učilnic 9-letne OŠ</t>
  </si>
  <si>
    <t xml:space="preserve">  - delež za materialne stroške potujoče knjižnice</t>
  </si>
  <si>
    <t xml:space="preserve">  - vzdrževanje bibliobusa</t>
  </si>
  <si>
    <t>Kulturni dom - koncertni abonma</t>
  </si>
  <si>
    <t xml:space="preserve">Tekoči transferi - sredstva za blago in storitve </t>
  </si>
  <si>
    <t>Zveza kulturnih društev</t>
  </si>
  <si>
    <t>Sofinanciranje adaptacije Samostana Kostanjevica</t>
  </si>
  <si>
    <t>Kinomatografija - Program ART - filma</t>
  </si>
  <si>
    <t>Trenerji v klubih (OZOTK - za Aero klub)</t>
  </si>
  <si>
    <t>Tekoče vzdrževanje športnih površin  PRILOGA 9</t>
  </si>
  <si>
    <t>Sofinanc. delovanja smučarskih naprav na Lokvah</t>
  </si>
  <si>
    <t>Tekoči transferi - sredstva za plače  CSD NG</t>
  </si>
  <si>
    <t>Tekoči transferi - sredstva za prispevke CSD NG</t>
  </si>
  <si>
    <t>Tekoči transferi -sred. za blago,storit. CSD NG</t>
  </si>
  <si>
    <t>Tekoči transferi - sredstva za plače  CPD NG</t>
  </si>
  <si>
    <t>Tekoči transferi - sredstva za prispevke CPD NG</t>
  </si>
  <si>
    <t>Tekoči transferi -sred. za blago,storit. CPD NG</t>
  </si>
  <si>
    <t>Tekoči transf.- sredstva za plače  TNM, DOM</t>
  </si>
  <si>
    <t>Tekoči transf.- sredstva za prisp.  TNM, DOM</t>
  </si>
  <si>
    <t>Tekoči transf.- sred. za blago,stor.TNM, DOM</t>
  </si>
  <si>
    <t>Uredit. Dnevnega centra za starostnike - DU NG</t>
  </si>
  <si>
    <t>Plačilo zdravstvenih prisp. za nezavarovane osebe</t>
  </si>
  <si>
    <t>Sredstva  za adaptacijo objekta Stara Gora</t>
  </si>
  <si>
    <t>Namenska sredstva za najemnino ZD Dornberk</t>
  </si>
  <si>
    <t>Najemnine in zakupnine za dr. objekt.- Mostovna</t>
  </si>
  <si>
    <t>Sredstva za blago, storitve - MLADINSKI CENTER</t>
  </si>
  <si>
    <t>Nakup drugih osnov. sredstev za Mladinski center</t>
  </si>
  <si>
    <t>Projektna dokumentacija in gradnja MOSTOVNE</t>
  </si>
  <si>
    <t>Prispevek MO za izvajanje programa javnih del</t>
  </si>
  <si>
    <t>Vzdrževanje kulturnih domov v KS   PRILOGA 12</t>
  </si>
  <si>
    <t>Vračilo sredstev PHARE (čistilna naprava Vrtojba)</t>
  </si>
  <si>
    <t>Sredstva za programe visokega šolstva</t>
  </si>
  <si>
    <t>Ljubiteljstvo - Zveza kulturnih društev</t>
  </si>
  <si>
    <t>Ljubiteljstvo - Sklad kulturnih dejavnosti</t>
  </si>
  <si>
    <t>Investicije v Zdravstveni dom Nova Gorica</t>
  </si>
  <si>
    <t>Sofinan. in org. prireditev, praznovanj in prvenstev</t>
  </si>
  <si>
    <t>Povečanje kapitalskih deležev v privat. podj.</t>
  </si>
  <si>
    <t>Inv. vzdrž.in obnove VVO N.Gorica, Branik</t>
  </si>
  <si>
    <t>Sofinanc.del na sakralnih objek.-Bazilika Sv. Gora</t>
  </si>
  <si>
    <t>Dana posojila javnim podjetjem - PDG</t>
  </si>
  <si>
    <t>Dana posojila javnim podjetjem- GM</t>
  </si>
  <si>
    <t>Organ. praznovanja 1000-letnice Gorica-Solkan</t>
  </si>
  <si>
    <t>Urbanistična planska dokumentacija</t>
  </si>
  <si>
    <t>Urbanistična izvedbena dokumentacija</t>
  </si>
  <si>
    <t>Geoinformacijski sistem</t>
  </si>
  <si>
    <t>08,20</t>
  </si>
  <si>
    <t>Obeležitev 50-letnice smrti Vinka Vodopivca</t>
  </si>
  <si>
    <t>10,10</t>
  </si>
  <si>
    <t>Sofinanciranje materinskega doma</t>
  </si>
  <si>
    <t>Sof.spomenika braniteljem zahodne meje-Op.Selo</t>
  </si>
  <si>
    <t>Sklad za razvoj malega gospodarstva Goriške</t>
  </si>
  <si>
    <t>09,22</t>
  </si>
  <si>
    <t>Sredstva za programe CRPOV (Tabor)</t>
  </si>
  <si>
    <t>01,15</t>
  </si>
  <si>
    <t>02,12</t>
  </si>
  <si>
    <t>Galerija - nakup likovnih del</t>
  </si>
  <si>
    <t>Namenska sredstva za MC - program Mladina</t>
  </si>
  <si>
    <t>Adaptacija prostorov Gasilskega zavoda</t>
  </si>
  <si>
    <t>Obveznosti do JZ za šport - sodna odločba</t>
  </si>
  <si>
    <t>Ureditev ogrevanja Gasilskega doma Dornberk</t>
  </si>
  <si>
    <t>Financiranje lokalnih volitev</t>
  </si>
  <si>
    <t>Stanovanjski sklad - sredstva za delovanje</t>
  </si>
  <si>
    <t>Dolgoročno posojilo - Gonzaga Čepovan</t>
  </si>
  <si>
    <t>Pomoč športnim klubom in društvom za pionirske,</t>
  </si>
  <si>
    <t>kadetske in mladinske selekcije</t>
  </si>
  <si>
    <t>REALIZACIJA</t>
  </si>
  <si>
    <t>2001</t>
  </si>
  <si>
    <t>PLAN 2002</t>
  </si>
  <si>
    <t>PLAN</t>
  </si>
  <si>
    <t>2003</t>
  </si>
  <si>
    <t>s spremembami</t>
  </si>
  <si>
    <t>2003/2001</t>
  </si>
  <si>
    <t>2003/2002</t>
  </si>
  <si>
    <t>Subvencije v kmetijstvo - polnilna linija</t>
  </si>
  <si>
    <t>Sofinanc. nakupa nepremičnine-Tehnološki park</t>
  </si>
  <si>
    <t>08,19</t>
  </si>
  <si>
    <t>Projekti za amfiteater</t>
  </si>
  <si>
    <t>Spominsko obeležje ob 1000-let. Nove Gorice</t>
  </si>
  <si>
    <t>Prispevki za pokojnin. in invalid. zavarovanje</t>
  </si>
  <si>
    <t>Energija, voda, komunalne storit. in komunik.</t>
  </si>
  <si>
    <t>Nakup poslovnih prost.(KS Bate,KS Banjšice)</t>
  </si>
  <si>
    <t>PROR.</t>
  </si>
  <si>
    <t>Nakup special. gas. vozila - iz namenskih sr. HIT</t>
  </si>
  <si>
    <t>Intervent. posegi na področju komun. in cest. gosp.</t>
  </si>
  <si>
    <t>Obvez. iz kupnin od prodanih stan. (RSS,ROS)</t>
  </si>
  <si>
    <t>Stanovanj. sklad MONG - iz najemnin za stan.</t>
  </si>
  <si>
    <t>Inv.v posod.cest.omr.in promet.ur. PRILOGA 1</t>
  </si>
  <si>
    <t>Odkup gradb.objekt.,prip.d.,dokum. obv.Solkan</t>
  </si>
  <si>
    <t>Dokument. za cestno infrastrukt. PRILOGA 3</t>
  </si>
  <si>
    <t>Dokument. za komunalne naprave PRILOGA 4</t>
  </si>
  <si>
    <t>Sanacija in izgrad. komunal. objektov PRILOGA 5</t>
  </si>
  <si>
    <t>Izgrad. komunal. objektov - vodovodi PRILOGA 6</t>
  </si>
  <si>
    <t>Izdelava projekt. za področje turizma, gospodar.</t>
  </si>
  <si>
    <t>Subvencije v kmetijstvo - regres. kmečkih žena</t>
  </si>
  <si>
    <t>Sr. za pr.CRPOV(Šempas,Ozeljan,Osek, Vitovlje)</t>
  </si>
  <si>
    <t>Sredstva za izdelavo enotnega inform. sistema</t>
  </si>
  <si>
    <t>Dana posojila privat. podjetjem in zasebnikom</t>
  </si>
  <si>
    <t>Sofin. Medobčinskega društva prijateljev mladine</t>
  </si>
  <si>
    <t xml:space="preserve">Izgrad. prizidka OŠ Branik (knjiž.in računal.učiln.) </t>
  </si>
  <si>
    <t>Izdel.proj.in izgrad.šport.dvorane osnov.in sred. šol</t>
  </si>
  <si>
    <t>Obvez. za Kinopodjetje v stečaju (obv. do delavcev)</t>
  </si>
  <si>
    <t>Obnova ograje na igrišču in ured. tribun v Stari Gori</t>
  </si>
  <si>
    <t>Ured. športnega parka in adaptacija šport. dvorane</t>
  </si>
  <si>
    <t>Sofinanc. nakupa kombija za športno dejavnost</t>
  </si>
  <si>
    <t>Odpravnine odpuščenim delavcem</t>
  </si>
  <si>
    <t>GORIŠKI MUZEJ</t>
  </si>
  <si>
    <t>Projekti za bivalne enote</t>
  </si>
  <si>
    <t>Investicije ZD Dornberk</t>
  </si>
  <si>
    <t>Goriški muzej - delavnice Solkan</t>
  </si>
  <si>
    <t>Goriška knjižnica - ureditev v stavbi</t>
  </si>
  <si>
    <t>Izgradnja prizidka OŠ Solkan - hidrant</t>
  </si>
  <si>
    <t>Vzdrževanje objektov in opreme Civilne zaščite</t>
  </si>
  <si>
    <t>Usposabljanje,vaje,akcije,zavarovanja,najemnine</t>
  </si>
  <si>
    <t>Tekoči odh. JZ za gasilsko in reševalsko dejavnost</t>
  </si>
  <si>
    <t>Stroški intervencij ob naravnih in drugih nesrečah</t>
  </si>
  <si>
    <t>Sred. za protipožarno dejavnost Gasilskih društev</t>
  </si>
  <si>
    <t>Sof. društev pomembnih za zaščito in reševanje</t>
  </si>
  <si>
    <t>Nakup opreme za civilno zaščito</t>
  </si>
  <si>
    <t>Sredstva iz požarnega sklada</t>
  </si>
  <si>
    <t>Dejavnost Centra za socialno delo</t>
  </si>
  <si>
    <t>Urejanje prostorov in oprema za MOSTOVNO</t>
  </si>
  <si>
    <t>UNICEF - Otrokom prijazno mesto</t>
  </si>
  <si>
    <t>Sred. iz požarnega sklada-cisterna za pitno vodo</t>
  </si>
  <si>
    <t xml:space="preserve">Sredstva za gradnjo socialnih stanovanj in </t>
  </si>
  <si>
    <t>stanovanj za mlade družine</t>
  </si>
  <si>
    <t>Sof. vzdrževal.del na krajevnih poteh PRILOGA 13</t>
  </si>
  <si>
    <t>Poračun po odločbi Ustavnega sodišča</t>
  </si>
  <si>
    <t>Obveznosti po Zakonu o varstvu pri delu</t>
  </si>
  <si>
    <t>Nadomestila in prov.(DURS, Komunala, Vodovodi,..)</t>
  </si>
  <si>
    <t>06,16</t>
  </si>
  <si>
    <t>Novoletne obdaritve otrok</t>
  </si>
  <si>
    <t>Nakup terenskega gasilskega vozila-PGD N.Gorica</t>
  </si>
  <si>
    <t>Nakup specialnega gasil. vozila - PGD Čepovan</t>
  </si>
  <si>
    <t>Sofinanciranje programov tehnološkega parka</t>
  </si>
  <si>
    <t>Sofinanc. programov Regijske razvojne agencije</t>
  </si>
  <si>
    <t>05,22</t>
  </si>
  <si>
    <t>05,23</t>
  </si>
  <si>
    <t>Finančne subvencije v gospodarstvu</t>
  </si>
  <si>
    <t>Sofinanc. projekta delo na daljavo in delo na domu</t>
  </si>
  <si>
    <t>Obnova strehe v jaslih v Novi Gorici</t>
  </si>
  <si>
    <t>Obnova vrtca v Šempasu</t>
  </si>
  <si>
    <t>Strateški prostorski akti in strokovne podlage</t>
  </si>
  <si>
    <t>Izvedbeni prostorski akti in strokovne podlage</t>
  </si>
  <si>
    <t>Okolje</t>
  </si>
  <si>
    <t>Izdel.promocijskega gradiva in turistična promocija</t>
  </si>
  <si>
    <t>Stroški nakupa stavbe Primexa - davek odkup</t>
  </si>
  <si>
    <t>Ureditev učnega centra - Rod soških mejašev</t>
  </si>
  <si>
    <t>13,30</t>
  </si>
  <si>
    <t>Vračilo ekološke takse - Petrol</t>
  </si>
  <si>
    <t>Subvenc. v kmetijstvo-urejanje kmetijskih zemljišč</t>
  </si>
  <si>
    <t>05,24</t>
  </si>
  <si>
    <t>Sklad dela</t>
  </si>
  <si>
    <t>09,11</t>
  </si>
  <si>
    <t>Urejanje kajak proge v Solkanu</t>
  </si>
  <si>
    <t>Str. provizij in vračil (UJP, Banka Slovenije, banke)</t>
  </si>
  <si>
    <t>13,31</t>
  </si>
  <si>
    <t>Sodna odločba KS Solkan (sklep Mestnega sveta)</t>
  </si>
  <si>
    <t>Sof.del na sakralnih objektih - Čepovan, Branik</t>
  </si>
  <si>
    <t>Investicijsko vzdrževanje spomenika Trnovo</t>
  </si>
  <si>
    <t>12,07</t>
  </si>
  <si>
    <t>Sof.nakupa prostorov za Primorski tehnološki park</t>
  </si>
  <si>
    <t>Sofinanciranje mladinskih programov</t>
  </si>
  <si>
    <t xml:space="preserve">Vlaganje v obrtne cone </t>
  </si>
  <si>
    <r>
      <t>Trenerji v kl.(</t>
    </r>
    <r>
      <rPr>
        <sz val="9"/>
        <rFont val="Arial CE"/>
        <family val="2"/>
      </rPr>
      <t>KK SE,NK HIT,KK,AK,KK HIT,OK,ŠK,RK</t>
    </r>
    <r>
      <rPr>
        <sz val="10"/>
        <rFont val="Arial CE"/>
        <family val="2"/>
      </rPr>
      <t>)</t>
    </r>
  </si>
  <si>
    <r>
      <t xml:space="preserve">Tekoči transferi - sredstva za plače </t>
    </r>
    <r>
      <rPr>
        <sz val="9"/>
        <rFont val="Arial CE"/>
        <family val="2"/>
      </rPr>
      <t>JZ ZA ŠPORT</t>
    </r>
  </si>
  <si>
    <r>
      <t xml:space="preserve">Tekoči transferi - sredstva za prisp. </t>
    </r>
    <r>
      <rPr>
        <sz val="9"/>
        <rFont val="Arial CE"/>
        <family val="2"/>
      </rPr>
      <t>JZ ZA ŠPORT</t>
    </r>
  </si>
  <si>
    <r>
      <t xml:space="preserve">Tekoči transferi - sred.za blago,stor. </t>
    </r>
    <r>
      <rPr>
        <sz val="9"/>
        <rFont val="Arial CE"/>
        <family val="2"/>
      </rPr>
      <t>JZ ZA ŠPORT</t>
    </r>
  </si>
  <si>
    <r>
      <t>Sof.mlad.nogom.selek. iz</t>
    </r>
    <r>
      <rPr>
        <sz val="9"/>
        <rFont val="Arial CE"/>
        <family val="2"/>
      </rPr>
      <t xml:space="preserve"> MONG</t>
    </r>
    <r>
      <rPr>
        <sz val="10"/>
        <rFont val="Arial CE"/>
        <family val="2"/>
      </rPr>
      <t xml:space="preserve">, ki tren.izven </t>
    </r>
    <r>
      <rPr>
        <sz val="9"/>
        <rFont val="Arial CE"/>
        <family val="2"/>
      </rPr>
      <t>MONG</t>
    </r>
  </si>
  <si>
    <r>
      <t>Sof.del na sak.obj.-</t>
    </r>
    <r>
      <rPr>
        <sz val="9"/>
        <rFont val="Arial CE"/>
        <family val="2"/>
      </rPr>
      <t>Vitovlje,Trnovo,Grgar,Branik,Prvač.</t>
    </r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</si>
</sst>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#,##0_ ;\-#,##0\ "/>
    <numFmt numFmtId="168" formatCode="0.000"/>
    <numFmt numFmtId="169" formatCode="0.0"/>
    <numFmt numFmtId="170" formatCode="0.00000"/>
    <numFmt numFmtId="171" formatCode="0.0000"/>
    <numFmt numFmtId="172" formatCode="dd/mm/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6" fillId="0" borderId="4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6" fillId="0" borderId="4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3" fontId="0" fillId="0" borderId="1" xfId="0" applyNumberFormat="1" applyFont="1" applyBorder="1" applyAlignment="1" applyProtection="1">
      <alignment horizontal="right"/>
      <protection/>
    </xf>
    <xf numFmtId="165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left"/>
      <protection/>
    </xf>
    <xf numFmtId="3" fontId="0" fillId="0" borderId="6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0" fontId="6" fillId="0" borderId="6" xfId="0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6" fillId="0" borderId="4" xfId="0" applyNumberFormat="1" applyFont="1" applyBorder="1" applyAlignment="1" applyProtection="1">
      <alignment horizontal="center"/>
      <protection/>
    </xf>
    <xf numFmtId="0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5" fontId="6" fillId="0" borderId="7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 quotePrefix="1">
      <alignment horizontal="right"/>
    </xf>
    <xf numFmtId="3" fontId="0" fillId="0" borderId="6" xfId="0" applyNumberFormat="1" applyFont="1" applyFill="1" applyBorder="1" applyAlignment="1">
      <alignment horizontal="right"/>
    </xf>
    <xf numFmtId="37" fontId="6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169" fontId="6" fillId="0" borderId="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3" fontId="8" fillId="0" borderId="6" xfId="0" applyNumberFormat="1" applyFont="1" applyBorder="1" applyAlignment="1" quotePrefix="1">
      <alignment horizontal="right"/>
    </xf>
    <xf numFmtId="0" fontId="8" fillId="0" borderId="4" xfId="0" applyFont="1" applyBorder="1" applyAlignment="1" quotePrefix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5" customHeight="1"/>
  <cols>
    <col min="1" max="1" width="7.375" style="113" customWidth="1"/>
    <col min="2" max="2" width="36.75390625" style="23" customWidth="1"/>
    <col min="3" max="3" width="13.25390625" style="25" customWidth="1"/>
    <col min="4" max="4" width="15.75390625" style="25" customWidth="1"/>
    <col min="5" max="5" width="12.75390625" style="25" customWidth="1"/>
    <col min="6" max="7" width="8.25390625" style="92" customWidth="1"/>
    <col min="8" max="8" width="11.125" style="4" bestFit="1" customWidth="1"/>
    <col min="9" max="9" width="19.25390625" style="4" customWidth="1"/>
    <col min="10" max="16384" width="9.125" style="4" customWidth="1"/>
  </cols>
  <sheetData>
    <row r="1" spans="1:7" s="109" customFormat="1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s="109" customFormat="1" ht="18" customHeight="1" thickBot="1">
      <c r="A2" s="28" t="s">
        <v>225</v>
      </c>
      <c r="B2" s="7"/>
      <c r="C2" s="8">
        <v>2001</v>
      </c>
      <c r="D2" s="8" t="s">
        <v>358</v>
      </c>
      <c r="E2" s="8">
        <v>2003</v>
      </c>
      <c r="F2" s="9" t="s">
        <v>359</v>
      </c>
      <c r="G2" s="9" t="s">
        <v>360</v>
      </c>
    </row>
    <row r="3" spans="1:9" s="110" customFormat="1" ht="18" customHeight="1">
      <c r="A3" s="10" t="s">
        <v>61</v>
      </c>
      <c r="B3" s="16" t="s">
        <v>0</v>
      </c>
      <c r="C3" s="72">
        <v>262583863</v>
      </c>
      <c r="D3" s="72">
        <v>307579500</v>
      </c>
      <c r="E3" s="72">
        <v>371044970</v>
      </c>
      <c r="F3" s="19">
        <f>IF(C3=0,"-",$E3/C3*100)</f>
        <v>141.30532080716628</v>
      </c>
      <c r="G3" s="19">
        <f>IF(D3=0,"-",$E3/D3*100)</f>
        <v>120.63384263255517</v>
      </c>
      <c r="I3" s="111"/>
    </row>
    <row r="4" spans="1:7" s="110" customFormat="1" ht="18" customHeight="1">
      <c r="A4" s="10" t="s">
        <v>61</v>
      </c>
      <c r="B4" s="16" t="s">
        <v>1</v>
      </c>
      <c r="C4" s="72">
        <v>9643587</v>
      </c>
      <c r="D4" s="72">
        <v>11234780</v>
      </c>
      <c r="E4" s="72">
        <v>13550000</v>
      </c>
      <c r="F4" s="19">
        <f>IF(C4=0,"-",$E4/C4*100)</f>
        <v>140.50788363292622</v>
      </c>
      <c r="G4" s="19">
        <f>IF(D4=0,"-",$E4/D4*100)</f>
        <v>120.60761314418262</v>
      </c>
    </row>
    <row r="5" spans="1:8" s="110" customFormat="1" ht="18" customHeight="1">
      <c r="A5" s="10" t="s">
        <v>61</v>
      </c>
      <c r="B5" s="16" t="s">
        <v>2</v>
      </c>
      <c r="C5" s="72">
        <v>17926911</v>
      </c>
      <c r="D5" s="72">
        <v>21585130</v>
      </c>
      <c r="E5" s="72">
        <v>27055350</v>
      </c>
      <c r="F5" s="19">
        <f aca="true" t="shared" si="0" ref="F5:F29">IF(C5=0,"-",$E5/C5*100)</f>
        <v>150.92031192657785</v>
      </c>
      <c r="G5" s="19">
        <f aca="true" t="shared" si="1" ref="G5:G29">IF(D5=0,"-",$E5/D5*100)</f>
        <v>125.3425390535058</v>
      </c>
      <c r="H5" s="112"/>
    </row>
    <row r="6" spans="1:7" s="110" customFormat="1" ht="18" customHeight="1">
      <c r="A6" s="10" t="s">
        <v>61</v>
      </c>
      <c r="B6" s="16" t="s">
        <v>3</v>
      </c>
      <c r="C6" s="72">
        <v>9674925</v>
      </c>
      <c r="D6" s="72">
        <v>11382980</v>
      </c>
      <c r="E6" s="72">
        <v>13728000</v>
      </c>
      <c r="F6" s="19">
        <f t="shared" si="0"/>
        <v>141.89257281064192</v>
      </c>
      <c r="G6" s="19">
        <f t="shared" si="1"/>
        <v>120.60110796996919</v>
      </c>
    </row>
    <row r="7" spans="1:7" s="110" customFormat="1" ht="18" customHeight="1">
      <c r="A7" s="10" t="s">
        <v>61</v>
      </c>
      <c r="B7" s="16" t="s">
        <v>4</v>
      </c>
      <c r="C7" s="72">
        <v>1014758</v>
      </c>
      <c r="D7" s="72">
        <v>1850000</v>
      </c>
      <c r="E7" s="72">
        <v>2231000</v>
      </c>
      <c r="F7" s="19">
        <f t="shared" si="0"/>
        <v>219.8553743848287</v>
      </c>
      <c r="G7" s="19">
        <f t="shared" si="1"/>
        <v>120.59459459459458</v>
      </c>
    </row>
    <row r="8" spans="1:7" s="110" customFormat="1" ht="18" customHeight="1">
      <c r="A8" s="10" t="s">
        <v>61</v>
      </c>
      <c r="B8" s="16" t="s">
        <v>5</v>
      </c>
      <c r="C8" s="72">
        <v>0</v>
      </c>
      <c r="D8" s="72">
        <v>0</v>
      </c>
      <c r="E8" s="72">
        <v>0</v>
      </c>
      <c r="F8" s="19" t="str">
        <f t="shared" si="0"/>
        <v>-</v>
      </c>
      <c r="G8" s="19" t="str">
        <f t="shared" si="1"/>
        <v>-</v>
      </c>
    </row>
    <row r="9" spans="1:8" s="110" customFormat="1" ht="18" customHeight="1">
      <c r="A9" s="10" t="s">
        <v>61</v>
      </c>
      <c r="B9" s="16" t="s">
        <v>6</v>
      </c>
      <c r="C9" s="72">
        <v>3108970</v>
      </c>
      <c r="D9" s="72">
        <v>3500000</v>
      </c>
      <c r="E9" s="72">
        <v>3733000</v>
      </c>
      <c r="F9" s="19">
        <f t="shared" si="0"/>
        <v>120.07192092557986</v>
      </c>
      <c r="G9" s="19">
        <f t="shared" si="1"/>
        <v>106.65714285714284</v>
      </c>
      <c r="H9" s="112"/>
    </row>
    <row r="10" spans="1:8" s="110" customFormat="1" ht="18" customHeight="1">
      <c r="A10" s="10" t="s">
        <v>61</v>
      </c>
      <c r="B10" s="16" t="s">
        <v>366</v>
      </c>
      <c r="C10" s="72">
        <v>24225721</v>
      </c>
      <c r="D10" s="72">
        <v>28250000</v>
      </c>
      <c r="E10" s="72">
        <v>34070000</v>
      </c>
      <c r="F10" s="19">
        <f t="shared" si="0"/>
        <v>140.6356491928558</v>
      </c>
      <c r="G10" s="19">
        <f t="shared" si="1"/>
        <v>120.60176991150442</v>
      </c>
      <c r="H10" s="112"/>
    </row>
    <row r="11" spans="1:7" s="110" customFormat="1" ht="18" customHeight="1">
      <c r="A11" s="10" t="s">
        <v>61</v>
      </c>
      <c r="B11" s="16" t="s">
        <v>262</v>
      </c>
      <c r="C11" s="72">
        <v>18860480</v>
      </c>
      <c r="D11" s="72">
        <v>22895570</v>
      </c>
      <c r="E11" s="72">
        <v>27612000</v>
      </c>
      <c r="F11" s="19">
        <f t="shared" si="0"/>
        <v>146.40136412222807</v>
      </c>
      <c r="G11" s="19">
        <f t="shared" si="1"/>
        <v>120.59974920912649</v>
      </c>
    </row>
    <row r="12" spans="1:7" s="110" customFormat="1" ht="18" customHeight="1">
      <c r="A12" s="10" t="s">
        <v>61</v>
      </c>
      <c r="B12" s="16" t="s">
        <v>263</v>
      </c>
      <c r="C12" s="72">
        <v>187697</v>
      </c>
      <c r="D12" s="72">
        <v>221000</v>
      </c>
      <c r="E12" s="72">
        <v>266500</v>
      </c>
      <c r="F12" s="19">
        <f t="shared" si="0"/>
        <v>141.98415531414994</v>
      </c>
      <c r="G12" s="19">
        <f t="shared" si="1"/>
        <v>120.58823529411764</v>
      </c>
    </row>
    <row r="13" spans="1:8" s="110" customFormat="1" ht="18" customHeight="1">
      <c r="A13" s="10" t="s">
        <v>61</v>
      </c>
      <c r="B13" s="16" t="s">
        <v>264</v>
      </c>
      <c r="C13" s="72">
        <v>250291</v>
      </c>
      <c r="D13" s="72">
        <v>313000</v>
      </c>
      <c r="E13" s="72">
        <v>377500</v>
      </c>
      <c r="F13" s="19">
        <f t="shared" si="0"/>
        <v>150.82444035143095</v>
      </c>
      <c r="G13" s="19">
        <f t="shared" si="1"/>
        <v>120.6070287539936</v>
      </c>
      <c r="H13" s="112"/>
    </row>
    <row r="14" spans="1:8" s="110" customFormat="1" ht="18" customHeight="1">
      <c r="A14" s="10" t="s">
        <v>61</v>
      </c>
      <c r="B14" s="16" t="s">
        <v>414</v>
      </c>
      <c r="C14" s="72">
        <v>0</v>
      </c>
      <c r="D14" s="72">
        <v>0</v>
      </c>
      <c r="E14" s="72">
        <v>4950000</v>
      </c>
      <c r="F14" s="19" t="str">
        <f>IF(C14=0,"-",$E14/C14*100)</f>
        <v>-</v>
      </c>
      <c r="G14" s="19" t="str">
        <f>IF(D14=0,"-",$E14/D14*100)</f>
        <v>-</v>
      </c>
      <c r="H14" s="112">
        <f>SUM(E3:E14)</f>
        <v>498618320</v>
      </c>
    </row>
    <row r="15" spans="1:7" s="110" customFormat="1" ht="18" customHeight="1">
      <c r="A15" s="10" t="s">
        <v>72</v>
      </c>
      <c r="B15" s="16" t="s">
        <v>7</v>
      </c>
      <c r="C15" s="72">
        <v>59082040</v>
      </c>
      <c r="D15" s="72">
        <v>64602040</v>
      </c>
      <c r="E15" s="72">
        <v>67896750</v>
      </c>
      <c r="F15" s="19">
        <f t="shared" si="0"/>
        <v>114.91944083176546</v>
      </c>
      <c r="G15" s="19">
        <f t="shared" si="1"/>
        <v>105.10000922571486</v>
      </c>
    </row>
    <row r="16" spans="1:8" s="110" customFormat="1" ht="18" customHeight="1">
      <c r="A16" s="10" t="s">
        <v>60</v>
      </c>
      <c r="B16" s="16" t="s">
        <v>8</v>
      </c>
      <c r="C16" s="72">
        <v>3960703</v>
      </c>
      <c r="D16" s="72">
        <v>4575200</v>
      </c>
      <c r="E16" s="72">
        <v>4808530</v>
      </c>
      <c r="F16" s="19">
        <f t="shared" si="0"/>
        <v>121.40597262657664</v>
      </c>
      <c r="G16" s="19">
        <f t="shared" si="1"/>
        <v>105.09988634376639</v>
      </c>
      <c r="H16" s="112"/>
    </row>
    <row r="17" spans="1:7" s="110" customFormat="1" ht="18" customHeight="1">
      <c r="A17" s="10" t="s">
        <v>206</v>
      </c>
      <c r="B17" s="16" t="s">
        <v>367</v>
      </c>
      <c r="C17" s="72">
        <v>36091220</v>
      </c>
      <c r="D17" s="72">
        <v>45526750</v>
      </c>
      <c r="E17" s="72">
        <v>47848610</v>
      </c>
      <c r="F17" s="19">
        <f t="shared" si="0"/>
        <v>132.57687049648086</v>
      </c>
      <c r="G17" s="19">
        <f t="shared" si="1"/>
        <v>105.09999066482891</v>
      </c>
    </row>
    <row r="18" spans="1:7" s="110" customFormat="1" ht="18" customHeight="1">
      <c r="A18" s="10" t="s">
        <v>207</v>
      </c>
      <c r="B18" s="16" t="s">
        <v>9</v>
      </c>
      <c r="C18" s="72">
        <v>12371917</v>
      </c>
      <c r="D18" s="72">
        <v>13064324</v>
      </c>
      <c r="E18" s="72">
        <v>13730600</v>
      </c>
      <c r="F18" s="19">
        <f t="shared" si="0"/>
        <v>110.98199252387484</v>
      </c>
      <c r="G18" s="19">
        <f t="shared" si="1"/>
        <v>105.0999653713426</v>
      </c>
    </row>
    <row r="19" spans="1:7" s="110" customFormat="1" ht="18" customHeight="1">
      <c r="A19" s="10" t="s">
        <v>208</v>
      </c>
      <c r="B19" s="16" t="s">
        <v>10</v>
      </c>
      <c r="C19" s="72">
        <v>3488938</v>
      </c>
      <c r="D19" s="72">
        <v>3891155</v>
      </c>
      <c r="E19" s="72">
        <v>4089600</v>
      </c>
      <c r="F19" s="19">
        <f t="shared" si="0"/>
        <v>117.21618440912391</v>
      </c>
      <c r="G19" s="19">
        <f t="shared" si="1"/>
        <v>105.09989964419304</v>
      </c>
    </row>
    <row r="20" spans="1:7" s="110" customFormat="1" ht="18" customHeight="1">
      <c r="A20" s="10" t="s">
        <v>209</v>
      </c>
      <c r="B20" s="16" t="s">
        <v>11</v>
      </c>
      <c r="C20" s="72">
        <v>16531960</v>
      </c>
      <c r="D20" s="72">
        <v>20778218</v>
      </c>
      <c r="E20" s="72">
        <v>21837910</v>
      </c>
      <c r="F20" s="19">
        <f t="shared" si="0"/>
        <v>132.0951054805359</v>
      </c>
      <c r="G20" s="19">
        <f t="shared" si="1"/>
        <v>105.10001387029438</v>
      </c>
    </row>
    <row r="21" spans="1:7" s="110" customFormat="1" ht="18" customHeight="1">
      <c r="A21" s="10" t="s">
        <v>210</v>
      </c>
      <c r="B21" s="16" t="s">
        <v>12</v>
      </c>
      <c r="C21" s="72">
        <v>2848514</v>
      </c>
      <c r="D21" s="72">
        <v>3233560</v>
      </c>
      <c r="E21" s="72">
        <v>3398470</v>
      </c>
      <c r="F21" s="19">
        <f t="shared" si="0"/>
        <v>119.30676837115772</v>
      </c>
      <c r="G21" s="19">
        <f t="shared" si="1"/>
        <v>105.09995175595938</v>
      </c>
    </row>
    <row r="22" spans="1:7" s="110" customFormat="1" ht="18" customHeight="1">
      <c r="A22" s="10" t="s">
        <v>211</v>
      </c>
      <c r="B22" s="16" t="s">
        <v>13</v>
      </c>
      <c r="C22" s="72">
        <v>0</v>
      </c>
      <c r="D22" s="72">
        <v>0</v>
      </c>
      <c r="E22" s="72">
        <v>0</v>
      </c>
      <c r="F22" s="19" t="str">
        <f t="shared" si="0"/>
        <v>-</v>
      </c>
      <c r="G22" s="19" t="str">
        <f t="shared" si="1"/>
        <v>-</v>
      </c>
    </row>
    <row r="23" spans="1:7" s="110" customFormat="1" ht="18" customHeight="1">
      <c r="A23" s="10" t="s">
        <v>212</v>
      </c>
      <c r="B23" s="16" t="s">
        <v>14</v>
      </c>
      <c r="C23" s="72">
        <v>63565425</v>
      </c>
      <c r="D23" s="72">
        <v>69982371</v>
      </c>
      <c r="E23" s="72">
        <v>73476230</v>
      </c>
      <c r="F23" s="19">
        <f t="shared" si="0"/>
        <v>115.59150277057064</v>
      </c>
      <c r="G23" s="19">
        <f t="shared" si="1"/>
        <v>104.9924844644089</v>
      </c>
    </row>
    <row r="24" spans="1:8" s="110" customFormat="1" ht="18" customHeight="1">
      <c r="A24" s="10" t="s">
        <v>213</v>
      </c>
      <c r="B24" s="16" t="s">
        <v>55</v>
      </c>
      <c r="C24" s="72">
        <v>4995000</v>
      </c>
      <c r="D24" s="72">
        <v>2834000</v>
      </c>
      <c r="E24" s="72">
        <v>2100000</v>
      </c>
      <c r="F24" s="19">
        <f t="shared" si="0"/>
        <v>42.04204204204204</v>
      </c>
      <c r="G24" s="19">
        <f t="shared" si="1"/>
        <v>74.10021171489062</v>
      </c>
      <c r="H24" s="112"/>
    </row>
    <row r="25" spans="1:7" s="110" customFormat="1" ht="18" customHeight="1">
      <c r="A25" s="10" t="s">
        <v>214</v>
      </c>
      <c r="B25" s="16" t="s">
        <v>15</v>
      </c>
      <c r="C25" s="72">
        <v>22920473</v>
      </c>
      <c r="D25" s="72">
        <v>23800000</v>
      </c>
      <c r="E25" s="72">
        <v>17000000</v>
      </c>
      <c r="F25" s="19">
        <f t="shared" si="0"/>
        <v>74.16949903258977</v>
      </c>
      <c r="G25" s="19">
        <f t="shared" si="1"/>
        <v>71.42857142857143</v>
      </c>
    </row>
    <row r="26" spans="1:7" s="110" customFormat="1" ht="18" customHeight="1">
      <c r="A26" s="10" t="s">
        <v>215</v>
      </c>
      <c r="B26" s="16" t="s">
        <v>16</v>
      </c>
      <c r="C26" s="72">
        <v>66534515</v>
      </c>
      <c r="D26" s="72">
        <v>40000000</v>
      </c>
      <c r="E26" s="72">
        <v>12500000</v>
      </c>
      <c r="F26" s="19">
        <f t="shared" si="0"/>
        <v>18.78724147910299</v>
      </c>
      <c r="G26" s="19">
        <f t="shared" si="1"/>
        <v>31.25</v>
      </c>
    </row>
    <row r="27" spans="1:7" s="110" customFormat="1" ht="18" customHeight="1">
      <c r="A27" s="10" t="s">
        <v>237</v>
      </c>
      <c r="B27" s="16" t="s">
        <v>368</v>
      </c>
      <c r="C27" s="72">
        <v>8160000</v>
      </c>
      <c r="D27" s="72">
        <v>0</v>
      </c>
      <c r="E27" s="72">
        <v>0</v>
      </c>
      <c r="F27" s="19">
        <f t="shared" si="0"/>
        <v>0</v>
      </c>
      <c r="G27" s="19" t="str">
        <f t="shared" si="1"/>
        <v>-</v>
      </c>
    </row>
    <row r="28" spans="1:7" s="110" customFormat="1" ht="18" customHeight="1">
      <c r="A28" s="10" t="s">
        <v>341</v>
      </c>
      <c r="B28" s="16" t="s">
        <v>415</v>
      </c>
      <c r="C28" s="72">
        <v>0</v>
      </c>
      <c r="D28" s="72">
        <v>0</v>
      </c>
      <c r="E28" s="72">
        <v>3000000</v>
      </c>
      <c r="F28" s="19" t="str">
        <f t="shared" si="0"/>
        <v>-</v>
      </c>
      <c r="G28" s="19" t="str">
        <f t="shared" si="1"/>
        <v>-</v>
      </c>
    </row>
    <row r="29" spans="1:7" s="109" customFormat="1" ht="18" customHeight="1" thickBot="1">
      <c r="A29" s="6"/>
      <c r="B29" s="33" t="s">
        <v>253</v>
      </c>
      <c r="C29" s="34">
        <f>SUM(C3:C28)</f>
        <v>648027908</v>
      </c>
      <c r="D29" s="34">
        <f>SUM(D3:D28)</f>
        <v>701099578</v>
      </c>
      <c r="E29" s="34">
        <f>SUM(E3:E28)</f>
        <v>770305020</v>
      </c>
      <c r="F29" s="35">
        <f t="shared" si="0"/>
        <v>118.86911203830437</v>
      </c>
      <c r="G29" s="35">
        <f t="shared" si="1"/>
        <v>109.87098611547017</v>
      </c>
    </row>
    <row r="30" spans="3:5" ht="18" customHeight="1">
      <c r="C30" s="24"/>
      <c r="D30" s="24"/>
      <c r="E30" s="24"/>
    </row>
    <row r="31" spans="2:5" ht="15" customHeight="1">
      <c r="B31" s="114"/>
      <c r="C31" s="24"/>
      <c r="D31" s="24"/>
      <c r="E31" s="24"/>
    </row>
    <row r="33" spans="3:5" ht="15" customHeight="1">
      <c r="C33" s="24"/>
      <c r="D33" s="24"/>
      <c r="E33" s="24"/>
    </row>
  </sheetData>
  <printOptions/>
  <pageMargins left="0.19" right="0.17" top="1.17" bottom="0.89" header="0.38" footer="0.5511811023622047"/>
  <pageSetup firstPageNumber="12" useFirstPageNumber="1" horizontalDpi="360" verticalDpi="360" orientation="portrait" paperSize="9" r:id="rId1"/>
  <headerFooter alignWithMargins="0">
    <oddHeader>&amp;L&amp;"Arial CE,Krepko"&amp;11PREGLED NALOG ZA PODROČJE:
&amp;C&amp;11
&amp;"Arial CE,Krepko"&amp;14&amp;A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00390625" defaultRowHeight="18" customHeight="1"/>
  <cols>
    <col min="1" max="1" width="7.25390625" style="21" customWidth="1"/>
    <col min="2" max="2" width="39.875" style="23" customWidth="1"/>
    <col min="3" max="3" width="12.875" style="25" bestFit="1" customWidth="1"/>
    <col min="4" max="4" width="14.75390625" style="25" customWidth="1"/>
    <col min="5" max="5" width="11.75390625" style="25" customWidth="1"/>
    <col min="6" max="6" width="7.75390625" style="25" customWidth="1"/>
    <col min="7" max="7" width="8.25390625" style="25" customWidth="1"/>
    <col min="8" max="16384" width="11.00390625" style="22" customWidth="1"/>
  </cols>
  <sheetData>
    <row r="1" spans="1:7" s="43" customFormat="1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s="43" customFormat="1" ht="18" customHeight="1" thickBot="1">
      <c r="A2" s="28" t="s">
        <v>225</v>
      </c>
      <c r="B2" s="29"/>
      <c r="C2" s="32">
        <v>2001</v>
      </c>
      <c r="D2" s="32" t="s">
        <v>358</v>
      </c>
      <c r="E2" s="32">
        <v>2003</v>
      </c>
      <c r="F2" s="9" t="s">
        <v>359</v>
      </c>
      <c r="G2" s="9" t="s">
        <v>360</v>
      </c>
    </row>
    <row r="3" spans="1:7" ht="18" customHeight="1">
      <c r="A3" s="38">
        <v>10.01</v>
      </c>
      <c r="B3" s="39" t="s">
        <v>36</v>
      </c>
      <c r="C3" s="40">
        <v>1125295</v>
      </c>
      <c r="D3" s="40">
        <v>1300000</v>
      </c>
      <c r="E3" s="40">
        <v>1366000</v>
      </c>
      <c r="F3" s="19">
        <f>IF(C3=0,"-",$E3/C3*100)</f>
        <v>121.39039096414719</v>
      </c>
      <c r="G3" s="19">
        <f>IF(D3=0,"-",$E3/D3*100)</f>
        <v>105.07692307692307</v>
      </c>
    </row>
    <row r="4" spans="1:7" ht="18" customHeight="1">
      <c r="A4" s="13">
        <v>10.02</v>
      </c>
      <c r="B4" s="39" t="s">
        <v>243</v>
      </c>
      <c r="C4" s="40">
        <v>5268080</v>
      </c>
      <c r="D4" s="40">
        <f>5300000+1000000</f>
        <v>6300000</v>
      </c>
      <c r="E4" s="40">
        <v>6620000</v>
      </c>
      <c r="F4" s="19">
        <f>IF(C4=0,"-",$E4/C4*100)</f>
        <v>125.66248044828477</v>
      </c>
      <c r="G4" s="19">
        <f>IF(D4=0,"-",$E4/D4*100)</f>
        <v>105.07936507936509</v>
      </c>
    </row>
    <row r="5" spans="1:7" ht="18" customHeight="1">
      <c r="A5" s="13">
        <v>10.03</v>
      </c>
      <c r="B5" s="39" t="s">
        <v>45</v>
      </c>
      <c r="C5" s="40">
        <v>961501</v>
      </c>
      <c r="D5" s="40">
        <v>1500000</v>
      </c>
      <c r="E5" s="40">
        <v>1580000</v>
      </c>
      <c r="F5" s="19">
        <f aca="true" t="shared" si="0" ref="F5:F26">IF(C5=0,"-",$E5/C5*100)</f>
        <v>164.326402156628</v>
      </c>
      <c r="G5" s="19">
        <f aca="true" t="shared" si="1" ref="G5:G26">IF(D5=0,"-",$E5/D5*100)</f>
        <v>105.33333333333333</v>
      </c>
    </row>
    <row r="6" spans="1:7" ht="18" customHeight="1">
      <c r="A6" s="13">
        <v>10.04</v>
      </c>
      <c r="B6" s="39" t="s">
        <v>244</v>
      </c>
      <c r="C6" s="40">
        <v>58836315</v>
      </c>
      <c r="D6" s="40">
        <v>62000000</v>
      </c>
      <c r="E6" s="40">
        <v>65200000</v>
      </c>
      <c r="F6" s="19">
        <f t="shared" si="0"/>
        <v>110.81591360709793</v>
      </c>
      <c r="G6" s="19">
        <f t="shared" si="1"/>
        <v>105.16129032258064</v>
      </c>
    </row>
    <row r="7" spans="1:7" ht="18" customHeight="1">
      <c r="A7" s="13">
        <v>10.05</v>
      </c>
      <c r="B7" s="39" t="s">
        <v>46</v>
      </c>
      <c r="C7" s="40">
        <v>11339500</v>
      </c>
      <c r="D7" s="40">
        <f>13000000+1600000-1000000</f>
        <v>13600000</v>
      </c>
      <c r="E7" s="40">
        <v>14300000</v>
      </c>
      <c r="F7" s="19">
        <f t="shared" si="0"/>
        <v>126.10785307994179</v>
      </c>
      <c r="G7" s="19">
        <f t="shared" si="1"/>
        <v>105.14705882352942</v>
      </c>
    </row>
    <row r="8" spans="1:7" ht="18" customHeight="1">
      <c r="A8" s="13">
        <v>10.06</v>
      </c>
      <c r="B8" s="39" t="s">
        <v>47</v>
      </c>
      <c r="C8" s="40">
        <v>4076261</v>
      </c>
      <c r="D8" s="40">
        <v>5350000</v>
      </c>
      <c r="E8" s="40">
        <v>10000000</v>
      </c>
      <c r="F8" s="19">
        <f t="shared" si="0"/>
        <v>245.3228583743779</v>
      </c>
      <c r="G8" s="19">
        <f t="shared" si="1"/>
        <v>186.9158878504673</v>
      </c>
    </row>
    <row r="9" spans="1:8" ht="18" customHeight="1">
      <c r="A9" s="13"/>
      <c r="B9" s="44" t="s">
        <v>407</v>
      </c>
      <c r="C9" s="45">
        <f>SUM(C10:C12)</f>
        <v>12848801</v>
      </c>
      <c r="D9" s="45">
        <f>SUM(D10:D12)</f>
        <v>13827980</v>
      </c>
      <c r="E9" s="45">
        <f>SUM(E10:E12)</f>
        <v>15590000</v>
      </c>
      <c r="F9" s="15">
        <f t="shared" si="0"/>
        <v>121.33427858365928</v>
      </c>
      <c r="G9" s="15">
        <f t="shared" si="1"/>
        <v>112.74242514090996</v>
      </c>
      <c r="H9" s="30">
        <f>+E9+E13</f>
        <v>50944100</v>
      </c>
    </row>
    <row r="10" spans="1:7" ht="18" customHeight="1">
      <c r="A10" s="13">
        <v>10.07</v>
      </c>
      <c r="B10" s="39" t="s">
        <v>299</v>
      </c>
      <c r="C10" s="40">
        <v>8076353</v>
      </c>
      <c r="D10" s="40">
        <v>9323012</v>
      </c>
      <c r="E10" s="40">
        <v>8247260</v>
      </c>
      <c r="F10" s="19">
        <f t="shared" si="0"/>
        <v>102.1161407878036</v>
      </c>
      <c r="G10" s="19">
        <f t="shared" si="1"/>
        <v>88.46132558876894</v>
      </c>
    </row>
    <row r="11" spans="1:8" ht="18" customHeight="1">
      <c r="A11" s="13">
        <v>10.07</v>
      </c>
      <c r="B11" s="39" t="s">
        <v>300</v>
      </c>
      <c r="C11" s="40">
        <v>1155967</v>
      </c>
      <c r="D11" s="40">
        <v>1364472</v>
      </c>
      <c r="E11" s="40">
        <v>1214220</v>
      </c>
      <c r="F11" s="19">
        <f t="shared" si="0"/>
        <v>105.0393307075375</v>
      </c>
      <c r="G11" s="19">
        <f t="shared" si="1"/>
        <v>88.98826798937611</v>
      </c>
      <c r="H11" s="30"/>
    </row>
    <row r="12" spans="1:7" ht="18" customHeight="1">
      <c r="A12" s="13">
        <v>10.07</v>
      </c>
      <c r="B12" s="39" t="s">
        <v>301</v>
      </c>
      <c r="C12" s="40">
        <v>3616481</v>
      </c>
      <c r="D12" s="40">
        <v>3140496</v>
      </c>
      <c r="E12" s="40">
        <v>6128520</v>
      </c>
      <c r="F12" s="19">
        <f t="shared" si="0"/>
        <v>169.46086541032568</v>
      </c>
      <c r="G12" s="19">
        <f t="shared" si="1"/>
        <v>195.14497073073807</v>
      </c>
    </row>
    <row r="13" spans="1:7" s="46" customFormat="1" ht="18" customHeight="1">
      <c r="A13" s="13"/>
      <c r="B13" s="44" t="s">
        <v>200</v>
      </c>
      <c r="C13" s="45">
        <f>SUM(C14:C16)</f>
        <v>17710801</v>
      </c>
      <c r="D13" s="45">
        <f>SUM(D14:D16)</f>
        <v>23156400</v>
      </c>
      <c r="E13" s="45">
        <f>SUM(E14:E16)</f>
        <v>35354100</v>
      </c>
      <c r="F13" s="15">
        <f t="shared" si="0"/>
        <v>199.61886534663228</v>
      </c>
      <c r="G13" s="15">
        <f t="shared" si="1"/>
        <v>152.6752863139348</v>
      </c>
    </row>
    <row r="14" spans="1:7" ht="18" customHeight="1">
      <c r="A14" s="13">
        <v>10.07</v>
      </c>
      <c r="B14" s="39" t="s">
        <v>302</v>
      </c>
      <c r="C14" s="40">
        <v>10685537</v>
      </c>
      <c r="D14" s="40">
        <v>13818972</v>
      </c>
      <c r="E14" s="40">
        <v>23647785</v>
      </c>
      <c r="F14" s="19">
        <f t="shared" si="0"/>
        <v>221.30647247770514</v>
      </c>
      <c r="G14" s="19">
        <f t="shared" si="1"/>
        <v>171.1255005075631</v>
      </c>
    </row>
    <row r="15" spans="1:7" ht="18" customHeight="1">
      <c r="A15" s="13">
        <v>10.07</v>
      </c>
      <c r="B15" s="39" t="s">
        <v>303</v>
      </c>
      <c r="C15" s="40">
        <v>1484081</v>
      </c>
      <c r="D15" s="40">
        <v>1913160</v>
      </c>
      <c r="E15" s="40">
        <v>3279115</v>
      </c>
      <c r="F15" s="19">
        <f t="shared" si="0"/>
        <v>220.95256256228603</v>
      </c>
      <c r="G15" s="19">
        <f t="shared" si="1"/>
        <v>171.39784440402266</v>
      </c>
    </row>
    <row r="16" spans="1:8" ht="18" customHeight="1">
      <c r="A16" s="13">
        <v>10.07</v>
      </c>
      <c r="B16" s="39" t="s">
        <v>304</v>
      </c>
      <c r="C16" s="40">
        <v>5541183</v>
      </c>
      <c r="D16" s="47">
        <f>5882268+1542000</f>
        <v>7424268</v>
      </c>
      <c r="E16" s="47">
        <v>8427200</v>
      </c>
      <c r="F16" s="19">
        <f t="shared" si="0"/>
        <v>152.08304797008148</v>
      </c>
      <c r="G16" s="19">
        <f t="shared" si="1"/>
        <v>113.50883346344717</v>
      </c>
      <c r="H16" s="30"/>
    </row>
    <row r="17" spans="1:7" s="46" customFormat="1" ht="18" customHeight="1">
      <c r="A17" s="13"/>
      <c r="B17" s="44" t="s">
        <v>256</v>
      </c>
      <c r="C17" s="45">
        <f>SUM(C18:C20)</f>
        <v>4158601</v>
      </c>
      <c r="D17" s="45">
        <f>SUM(D18:D20)</f>
        <v>7975900</v>
      </c>
      <c r="E17" s="45">
        <f>SUM(E18:E20)</f>
        <v>0</v>
      </c>
      <c r="F17" s="15">
        <f t="shared" si="0"/>
        <v>0</v>
      </c>
      <c r="G17" s="15">
        <f t="shared" si="1"/>
        <v>0</v>
      </c>
    </row>
    <row r="18" spans="1:7" ht="18" customHeight="1">
      <c r="A18" s="13">
        <v>10.07</v>
      </c>
      <c r="B18" s="39" t="s">
        <v>305</v>
      </c>
      <c r="C18" s="40">
        <v>2778134</v>
      </c>
      <c r="D18" s="40">
        <f>2199854+2907642</f>
        <v>5107496</v>
      </c>
      <c r="E18" s="40">
        <v>0</v>
      </c>
      <c r="F18" s="19">
        <f t="shared" si="0"/>
        <v>0</v>
      </c>
      <c r="G18" s="19">
        <f t="shared" si="1"/>
        <v>0</v>
      </c>
    </row>
    <row r="19" spans="1:7" ht="18" customHeight="1">
      <c r="A19" s="13">
        <v>10.07</v>
      </c>
      <c r="B19" s="39" t="s">
        <v>306</v>
      </c>
      <c r="C19" s="40">
        <v>349169</v>
      </c>
      <c r="D19" s="40">
        <f>273797+398389</f>
        <v>672186</v>
      </c>
      <c r="E19" s="40">
        <v>0</v>
      </c>
      <c r="F19" s="19">
        <f t="shared" si="0"/>
        <v>0</v>
      </c>
      <c r="G19" s="19">
        <f t="shared" si="1"/>
        <v>0</v>
      </c>
    </row>
    <row r="20" spans="1:8" ht="18" customHeight="1">
      <c r="A20" s="13">
        <v>10.07</v>
      </c>
      <c r="B20" s="39" t="s">
        <v>307</v>
      </c>
      <c r="C20" s="40">
        <v>1031298</v>
      </c>
      <c r="D20" s="40">
        <f>845649+1350569</f>
        <v>2196218</v>
      </c>
      <c r="E20" s="40">
        <v>0</v>
      </c>
      <c r="F20" s="19">
        <f t="shared" si="0"/>
        <v>0</v>
      </c>
      <c r="G20" s="19">
        <f t="shared" si="1"/>
        <v>0</v>
      </c>
      <c r="H20" s="30"/>
    </row>
    <row r="21" spans="1:7" ht="18" customHeight="1">
      <c r="A21" s="13">
        <v>10.08</v>
      </c>
      <c r="B21" s="39" t="s">
        <v>204</v>
      </c>
      <c r="C21" s="40">
        <v>0</v>
      </c>
      <c r="D21" s="40">
        <v>0</v>
      </c>
      <c r="E21" s="40">
        <v>5000000</v>
      </c>
      <c r="F21" s="19" t="str">
        <f t="shared" si="0"/>
        <v>-</v>
      </c>
      <c r="G21" s="19" t="str">
        <f t="shared" si="1"/>
        <v>-</v>
      </c>
    </row>
    <row r="22" spans="1:7" ht="18" customHeight="1">
      <c r="A22" s="13">
        <v>10.09</v>
      </c>
      <c r="B22" s="39" t="s">
        <v>308</v>
      </c>
      <c r="C22" s="40">
        <v>20507834</v>
      </c>
      <c r="D22" s="40">
        <v>0</v>
      </c>
      <c r="E22" s="40">
        <v>0</v>
      </c>
      <c r="F22" s="19">
        <f t="shared" si="0"/>
        <v>0</v>
      </c>
      <c r="G22" s="19" t="str">
        <f t="shared" si="1"/>
        <v>-</v>
      </c>
    </row>
    <row r="23" spans="1:7" ht="18" customHeight="1">
      <c r="A23" s="13">
        <v>10.09</v>
      </c>
      <c r="B23" s="39" t="s">
        <v>394</v>
      </c>
      <c r="C23" s="40">
        <v>0</v>
      </c>
      <c r="D23" s="40">
        <v>0</v>
      </c>
      <c r="E23" s="40">
        <v>10000000</v>
      </c>
      <c r="F23" s="19" t="str">
        <f t="shared" si="0"/>
        <v>-</v>
      </c>
      <c r="G23" s="19" t="str">
        <f t="shared" si="1"/>
        <v>-</v>
      </c>
    </row>
    <row r="24" spans="1:7" ht="18" customHeight="1">
      <c r="A24" s="48" t="s">
        <v>335</v>
      </c>
      <c r="B24" s="39" t="s">
        <v>336</v>
      </c>
      <c r="C24" s="40">
        <v>1500000</v>
      </c>
      <c r="D24" s="40">
        <v>2000000</v>
      </c>
      <c r="E24" s="40">
        <v>2100000</v>
      </c>
      <c r="F24" s="19">
        <f t="shared" si="0"/>
        <v>140</v>
      </c>
      <c r="G24" s="19">
        <f t="shared" si="1"/>
        <v>105</v>
      </c>
    </row>
    <row r="25" spans="1:7" ht="18" customHeight="1">
      <c r="A25" s="31"/>
      <c r="B25" s="39"/>
      <c r="C25" s="40"/>
      <c r="D25" s="40"/>
      <c r="E25" s="40"/>
      <c r="F25" s="19"/>
      <c r="G25" s="19"/>
    </row>
    <row r="26" spans="1:7" ht="18" customHeight="1" thickBot="1">
      <c r="A26" s="32"/>
      <c r="B26" s="33" t="s">
        <v>253</v>
      </c>
      <c r="C26" s="41">
        <f>SUM(C3:C25)-C17-C13-C9</f>
        <v>138332989</v>
      </c>
      <c r="D26" s="41">
        <f>SUM(D3:D25)-D17-D13-D9</f>
        <v>137010280</v>
      </c>
      <c r="E26" s="41">
        <f>SUM(E3:E25)-E17-E13-E9</f>
        <v>167110100</v>
      </c>
      <c r="F26" s="35">
        <f t="shared" si="0"/>
        <v>120.80278262475773</v>
      </c>
      <c r="G26" s="35">
        <f t="shared" si="1"/>
        <v>121.96902305432849</v>
      </c>
    </row>
    <row r="27" ht="18" customHeight="1">
      <c r="A27" s="42" t="s">
        <v>30</v>
      </c>
    </row>
    <row r="28" spans="3:5" ht="18" customHeight="1">
      <c r="C28" s="24"/>
      <c r="D28" s="24"/>
      <c r="E28" s="24"/>
    </row>
  </sheetData>
  <printOptions/>
  <pageMargins left="0.19" right="0.17" top="1.17" bottom="0.89" header="0.41" footer="0.5511811023622047"/>
  <pageSetup firstPageNumber="22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8" customHeight="1"/>
  <cols>
    <col min="1" max="1" width="7.375" style="21" customWidth="1"/>
    <col min="2" max="2" width="41.125" style="23" customWidth="1"/>
    <col min="3" max="3" width="12.75390625" style="25" customWidth="1"/>
    <col min="4" max="4" width="14.875" style="25" customWidth="1"/>
    <col min="5" max="5" width="11.00390625" style="25" customWidth="1"/>
    <col min="6" max="6" width="7.75390625" style="25" customWidth="1"/>
    <col min="7" max="7" width="7.375" style="25" customWidth="1"/>
    <col min="8" max="16384" width="11.00390625" style="22" customWidth="1"/>
  </cols>
  <sheetData>
    <row r="1" spans="1:7" s="43" customFormat="1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s="43" customFormat="1" ht="18" customHeight="1" thickBot="1">
      <c r="A2" s="28" t="s">
        <v>225</v>
      </c>
      <c r="B2" s="29"/>
      <c r="C2" s="32">
        <v>2001</v>
      </c>
      <c r="D2" s="32" t="s">
        <v>358</v>
      </c>
      <c r="E2" s="32">
        <v>2003</v>
      </c>
      <c r="F2" s="9" t="s">
        <v>359</v>
      </c>
      <c r="G2" s="9" t="s">
        <v>360</v>
      </c>
    </row>
    <row r="3" spans="1:7" ht="18" customHeight="1">
      <c r="A3" s="13">
        <v>11.01</v>
      </c>
      <c r="B3" s="39" t="s">
        <v>309</v>
      </c>
      <c r="C3" s="40">
        <v>30660630</v>
      </c>
      <c r="D3" s="40">
        <v>35000000</v>
      </c>
      <c r="E3" s="40">
        <v>36800000</v>
      </c>
      <c r="F3" s="19">
        <f>IF(C3=0,"-",$E3/C3*100)</f>
        <v>120.02362638993394</v>
      </c>
      <c r="G3" s="19">
        <f>IF(D3=0,"-",$E3/D3*100)</f>
        <v>105.14285714285714</v>
      </c>
    </row>
    <row r="4" spans="1:7" ht="18" customHeight="1">
      <c r="A4" s="13">
        <v>11.02</v>
      </c>
      <c r="B4" s="39" t="s">
        <v>53</v>
      </c>
      <c r="C4" s="40">
        <v>500000</v>
      </c>
      <c r="D4" s="40">
        <v>540000</v>
      </c>
      <c r="E4" s="40">
        <v>570000</v>
      </c>
      <c r="F4" s="19">
        <f>IF(C4=0,"-",$E4/C4*100)</f>
        <v>113.99999999999999</v>
      </c>
      <c r="G4" s="19">
        <f>IF(D4=0,"-",$E4/D4*100)</f>
        <v>105.55555555555556</v>
      </c>
    </row>
    <row r="5" spans="1:8" ht="18" customHeight="1">
      <c r="A5" s="13">
        <v>11.03</v>
      </c>
      <c r="B5" s="39" t="s">
        <v>310</v>
      </c>
      <c r="C5" s="40">
        <v>990207</v>
      </c>
      <c r="D5" s="40">
        <v>0</v>
      </c>
      <c r="E5" s="40">
        <v>0</v>
      </c>
      <c r="F5" s="19">
        <f aca="true" t="shared" si="0" ref="F5:F12">IF(C5=0,"-",$E5/C5*100)</f>
        <v>0</v>
      </c>
      <c r="G5" s="19" t="str">
        <f aca="true" t="shared" si="1" ref="G5:G12">IF(D5=0,"-",$E5/D5*100)</f>
        <v>-</v>
      </c>
      <c r="H5" s="30">
        <f>SUM(E5:E8)</f>
        <v>50000000</v>
      </c>
    </row>
    <row r="6" spans="1:7" ht="18" customHeight="1">
      <c r="A6" s="13">
        <v>11.03</v>
      </c>
      <c r="B6" s="39" t="s">
        <v>322</v>
      </c>
      <c r="C6" s="40">
        <v>0</v>
      </c>
      <c r="D6" s="40">
        <f>23000000-6560400+3560400</f>
        <v>20000000</v>
      </c>
      <c r="E6" s="40">
        <v>10000000</v>
      </c>
      <c r="F6" s="19" t="str">
        <f t="shared" si="0"/>
        <v>-</v>
      </c>
      <c r="G6" s="19">
        <f t="shared" si="1"/>
        <v>50</v>
      </c>
    </row>
    <row r="7" spans="1:7" ht="18" customHeight="1">
      <c r="A7" s="13">
        <v>11.03</v>
      </c>
      <c r="B7" s="39" t="s">
        <v>257</v>
      </c>
      <c r="C7" s="40">
        <v>0</v>
      </c>
      <c r="D7" s="40">
        <v>10000000</v>
      </c>
      <c r="E7" s="40">
        <v>0</v>
      </c>
      <c r="F7" s="19" t="str">
        <f t="shared" si="0"/>
        <v>-</v>
      </c>
      <c r="G7" s="19">
        <f t="shared" si="1"/>
        <v>0</v>
      </c>
    </row>
    <row r="8" spans="1:7" ht="18" customHeight="1">
      <c r="A8" s="13">
        <v>11.03</v>
      </c>
      <c r="B8" s="39" t="s">
        <v>395</v>
      </c>
      <c r="C8" s="40">
        <v>0</v>
      </c>
      <c r="D8" s="40">
        <v>0</v>
      </c>
      <c r="E8" s="40">
        <v>40000000</v>
      </c>
      <c r="F8" s="19" t="str">
        <f t="shared" si="0"/>
        <v>-</v>
      </c>
      <c r="G8" s="19" t="str">
        <f t="shared" si="1"/>
        <v>-</v>
      </c>
    </row>
    <row r="9" spans="1:7" ht="18" customHeight="1">
      <c r="A9" s="13">
        <v>11.04</v>
      </c>
      <c r="B9" s="39" t="s">
        <v>311</v>
      </c>
      <c r="C9" s="40">
        <v>1919185</v>
      </c>
      <c r="D9" s="40">
        <v>2889000</v>
      </c>
      <c r="E9" s="40">
        <v>3040000</v>
      </c>
      <c r="F9" s="19">
        <f t="shared" si="0"/>
        <v>158.40057107574307</v>
      </c>
      <c r="G9" s="19">
        <f t="shared" si="1"/>
        <v>105.22672204915196</v>
      </c>
    </row>
    <row r="10" spans="1:7" ht="18" customHeight="1">
      <c r="A10" s="13">
        <v>11.05</v>
      </c>
      <c r="B10" s="39" t="s">
        <v>197</v>
      </c>
      <c r="C10" s="40">
        <v>1200000</v>
      </c>
      <c r="D10" s="40">
        <v>1350000</v>
      </c>
      <c r="E10" s="40">
        <v>1420000</v>
      </c>
      <c r="F10" s="19">
        <f t="shared" si="0"/>
        <v>118.33333333333333</v>
      </c>
      <c r="G10" s="19">
        <f t="shared" si="1"/>
        <v>105.18518518518518</v>
      </c>
    </row>
    <row r="11" spans="1:7" ht="18" customHeight="1">
      <c r="A11" s="13"/>
      <c r="B11" s="39"/>
      <c r="C11" s="40"/>
      <c r="D11" s="40"/>
      <c r="E11" s="40"/>
      <c r="F11" s="19"/>
      <c r="G11" s="19"/>
    </row>
    <row r="12" spans="1:7" ht="18" customHeight="1" thickBot="1">
      <c r="A12" s="5"/>
      <c r="B12" s="33" t="s">
        <v>253</v>
      </c>
      <c r="C12" s="41">
        <f>SUM(C3:C11)</f>
        <v>35270022</v>
      </c>
      <c r="D12" s="41">
        <f>SUM(D3:D11)</f>
        <v>69779000</v>
      </c>
      <c r="E12" s="41">
        <f>SUM(E3:E11)</f>
        <v>91830000</v>
      </c>
      <c r="F12" s="35">
        <f t="shared" si="0"/>
        <v>260.3627522545917</v>
      </c>
      <c r="G12" s="35">
        <f t="shared" si="1"/>
        <v>131.6011980681867</v>
      </c>
    </row>
    <row r="13" ht="18" customHeight="1">
      <c r="A13" s="42" t="s">
        <v>30</v>
      </c>
    </row>
    <row r="14" spans="3:5" ht="18" customHeight="1">
      <c r="C14" s="24"/>
      <c r="D14" s="24"/>
      <c r="E14" s="24"/>
    </row>
  </sheetData>
  <printOptions/>
  <pageMargins left="0.19" right="0.17" top="1.19" bottom="0.89" header="0.41" footer="0.5511811023622047"/>
  <pageSetup firstPageNumber="23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00390625" defaultRowHeight="18" customHeight="1"/>
  <cols>
    <col min="1" max="1" width="7.25390625" style="21" customWidth="1"/>
    <col min="2" max="2" width="41.625" style="23" customWidth="1"/>
    <col min="3" max="3" width="12.875" style="25" customWidth="1"/>
    <col min="4" max="4" width="15.00390625" style="25" customWidth="1"/>
    <col min="5" max="5" width="11.25390625" style="25" customWidth="1"/>
    <col min="6" max="6" width="7.625" style="25" customWidth="1"/>
    <col min="7" max="7" width="7.25390625" style="25" customWidth="1"/>
    <col min="8" max="16384" width="11.00390625" style="22" customWidth="1"/>
  </cols>
  <sheetData>
    <row r="1" spans="1:7" s="37" customFormat="1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s="37" customFormat="1" ht="18" customHeight="1" thickBot="1">
      <c r="A2" s="28" t="s">
        <v>225</v>
      </c>
      <c r="B2" s="29"/>
      <c r="C2" s="32">
        <v>2001</v>
      </c>
      <c r="D2" s="32" t="s">
        <v>358</v>
      </c>
      <c r="E2" s="32">
        <v>2003</v>
      </c>
      <c r="F2" s="9" t="s">
        <v>359</v>
      </c>
      <c r="G2" s="9" t="s">
        <v>360</v>
      </c>
    </row>
    <row r="3" spans="1:7" ht="18" customHeight="1">
      <c r="A3" s="38">
        <v>12.01</v>
      </c>
      <c r="B3" s="39" t="s">
        <v>312</v>
      </c>
      <c r="C3" s="40">
        <v>3501439</v>
      </c>
      <c r="D3" s="40">
        <v>2800000</v>
      </c>
      <c r="E3" s="40">
        <v>1200000</v>
      </c>
      <c r="F3" s="19">
        <f>IF(C3=0,"-",$E3/C3*100)</f>
        <v>34.271623752405795</v>
      </c>
      <c r="G3" s="19">
        <f>IF(D3=0,"-",$E3/D3*100)</f>
        <v>42.857142857142854</v>
      </c>
    </row>
    <row r="4" spans="1:7" ht="18" customHeight="1">
      <c r="A4" s="13">
        <v>12.02</v>
      </c>
      <c r="B4" s="39" t="s">
        <v>449</v>
      </c>
      <c r="C4" s="40">
        <v>6380000</v>
      </c>
      <c r="D4" s="40">
        <f>7000000+1500000-1500000</f>
        <v>7000000</v>
      </c>
      <c r="E4" s="40">
        <v>16500000</v>
      </c>
      <c r="F4" s="19">
        <f>IF(C4=0,"-",$E4/C4*100)</f>
        <v>258.62068965517244</v>
      </c>
      <c r="G4" s="19">
        <f>IF(D4=0,"-",$E4/D4*100)</f>
        <v>235.71428571428572</v>
      </c>
    </row>
    <row r="5" spans="1:7" ht="18" customHeight="1">
      <c r="A5" s="13">
        <v>12.03</v>
      </c>
      <c r="B5" s="39" t="s">
        <v>313</v>
      </c>
      <c r="C5" s="40">
        <v>15296796</v>
      </c>
      <c r="D5" s="40">
        <v>15700000</v>
      </c>
      <c r="E5" s="40">
        <v>16500000</v>
      </c>
      <c r="F5" s="19">
        <f aca="true" t="shared" si="0" ref="F5:F14">IF(C5=0,"-",$E5/C5*100)</f>
        <v>107.86572560685256</v>
      </c>
      <c r="G5" s="19">
        <f aca="true" t="shared" si="1" ref="G5:G14">IF(D5=0,"-",$E5/D5*100)</f>
        <v>105.09554140127389</v>
      </c>
    </row>
    <row r="6" spans="1:7" ht="18" customHeight="1">
      <c r="A6" s="13">
        <v>12.03</v>
      </c>
      <c r="B6" s="39" t="s">
        <v>344</v>
      </c>
      <c r="C6" s="40">
        <v>0</v>
      </c>
      <c r="D6" s="40">
        <v>376389</v>
      </c>
      <c r="E6" s="40">
        <v>0</v>
      </c>
      <c r="F6" s="19" t="str">
        <f t="shared" si="0"/>
        <v>-</v>
      </c>
      <c r="G6" s="19">
        <f t="shared" si="1"/>
        <v>0</v>
      </c>
    </row>
    <row r="7" spans="1:7" ht="18" customHeight="1">
      <c r="A7" s="38">
        <v>12.04</v>
      </c>
      <c r="B7" s="39" t="s">
        <v>42</v>
      </c>
      <c r="C7" s="40">
        <v>1324016</v>
      </c>
      <c r="D7" s="40">
        <v>274760</v>
      </c>
      <c r="E7" s="40">
        <v>0</v>
      </c>
      <c r="F7" s="19">
        <f t="shared" si="0"/>
        <v>0</v>
      </c>
      <c r="G7" s="19">
        <f t="shared" si="1"/>
        <v>0</v>
      </c>
    </row>
    <row r="8" spans="1:8" ht="18" customHeight="1">
      <c r="A8" s="13">
        <v>12.05</v>
      </c>
      <c r="B8" s="16" t="s">
        <v>314</v>
      </c>
      <c r="C8" s="40">
        <v>1028409</v>
      </c>
      <c r="D8" s="40">
        <v>1500000</v>
      </c>
      <c r="E8" s="40">
        <v>1500000</v>
      </c>
      <c r="F8" s="19">
        <f t="shared" si="0"/>
        <v>145.85636648454067</v>
      </c>
      <c r="G8" s="19">
        <f t="shared" si="1"/>
        <v>100</v>
      </c>
      <c r="H8" s="30">
        <f>SUM(E8:E10)</f>
        <v>6500000</v>
      </c>
    </row>
    <row r="9" spans="1:7" ht="18" customHeight="1">
      <c r="A9" s="13">
        <v>12.05</v>
      </c>
      <c r="B9" s="16" t="s">
        <v>315</v>
      </c>
      <c r="C9" s="40">
        <v>20000603</v>
      </c>
      <c r="D9" s="40">
        <f>30600000+10200000</f>
        <v>40800000</v>
      </c>
      <c r="E9" s="40">
        <v>0</v>
      </c>
      <c r="F9" s="19">
        <f t="shared" si="0"/>
        <v>0</v>
      </c>
      <c r="G9" s="19">
        <f t="shared" si="1"/>
        <v>0</v>
      </c>
    </row>
    <row r="10" spans="1:7" ht="18" customHeight="1">
      <c r="A10" s="13">
        <v>12.05</v>
      </c>
      <c r="B10" s="16" t="s">
        <v>408</v>
      </c>
      <c r="C10" s="40">
        <v>0</v>
      </c>
      <c r="D10" s="40">
        <v>0</v>
      </c>
      <c r="E10" s="40">
        <v>5000000</v>
      </c>
      <c r="F10" s="19" t="str">
        <f>IF(C10=0,"-",$E10/C10*100)</f>
        <v>-</v>
      </c>
      <c r="G10" s="19" t="str">
        <f>IF(D10=0,"-",$E10/D10*100)</f>
        <v>-</v>
      </c>
    </row>
    <row r="11" spans="1:7" ht="18" customHeight="1">
      <c r="A11" s="13">
        <v>12.06</v>
      </c>
      <c r="B11" s="16" t="s">
        <v>196</v>
      </c>
      <c r="C11" s="40">
        <v>977552</v>
      </c>
      <c r="D11" s="40">
        <v>0</v>
      </c>
      <c r="E11" s="40">
        <v>0</v>
      </c>
      <c r="F11" s="19">
        <f>IF(C11=0,"-",$E11/C11*100)</f>
        <v>0</v>
      </c>
      <c r="G11" s="19" t="str">
        <f>IF(D11=0,"-",$E11/D11*100)</f>
        <v>-</v>
      </c>
    </row>
    <row r="12" spans="1:7" ht="18" customHeight="1">
      <c r="A12" s="31" t="s">
        <v>447</v>
      </c>
      <c r="B12" s="16" t="s">
        <v>409</v>
      </c>
      <c r="C12" s="40">
        <v>0</v>
      </c>
      <c r="D12" s="40">
        <v>0</v>
      </c>
      <c r="E12" s="40">
        <v>5000000</v>
      </c>
      <c r="F12" s="19" t="str">
        <f t="shared" si="0"/>
        <v>-</v>
      </c>
      <c r="G12" s="19" t="str">
        <f t="shared" si="1"/>
        <v>-</v>
      </c>
    </row>
    <row r="13" spans="1:7" ht="18" customHeight="1">
      <c r="A13" s="13"/>
      <c r="B13" s="16"/>
      <c r="C13" s="40"/>
      <c r="D13" s="40"/>
      <c r="E13" s="40"/>
      <c r="F13" s="19"/>
      <c r="G13" s="19"/>
    </row>
    <row r="14" spans="1:7" ht="18" customHeight="1" thickBot="1">
      <c r="A14" s="5"/>
      <c r="B14" s="33" t="s">
        <v>253</v>
      </c>
      <c r="C14" s="41">
        <f>SUM(C3:C13)</f>
        <v>48508815</v>
      </c>
      <c r="D14" s="41">
        <f>SUM(D3:D13)</f>
        <v>68451149</v>
      </c>
      <c r="E14" s="41">
        <f>SUM(E3:E13)</f>
        <v>45700000</v>
      </c>
      <c r="F14" s="35">
        <f t="shared" si="0"/>
        <v>94.20968127133182</v>
      </c>
      <c r="G14" s="35">
        <f t="shared" si="1"/>
        <v>66.76294067759184</v>
      </c>
    </row>
    <row r="15" ht="18" customHeight="1">
      <c r="A15" s="42" t="s">
        <v>30</v>
      </c>
    </row>
    <row r="16" spans="3:5" ht="18" customHeight="1">
      <c r="C16" s="24"/>
      <c r="D16" s="24"/>
      <c r="E16" s="24"/>
    </row>
  </sheetData>
  <printOptions/>
  <pageMargins left="0.19" right="0.17" top="1.19" bottom="0.94" header="0.41" footer="0.5511811023622047"/>
  <pageSetup firstPageNumber="24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6.5" customHeight="1"/>
  <cols>
    <col min="1" max="1" width="7.00390625" style="36" customWidth="1"/>
    <col min="2" max="2" width="41.625" style="23" customWidth="1"/>
    <col min="3" max="3" width="12.625" style="24" customWidth="1"/>
    <col min="4" max="4" width="14.625" style="24" customWidth="1"/>
    <col min="5" max="5" width="11.375" style="24" customWidth="1"/>
    <col min="6" max="6" width="8.00390625" style="25" customWidth="1"/>
    <col min="7" max="7" width="7.75390625" style="25" customWidth="1"/>
    <col min="8" max="8" width="11.625" style="22" customWidth="1"/>
    <col min="9" max="16384" width="9.125" style="22" customWidth="1"/>
  </cols>
  <sheetData>
    <row r="1" spans="1:7" ht="16.5" customHeight="1">
      <c r="A1" s="1" t="s">
        <v>35</v>
      </c>
      <c r="B1" s="27" t="s">
        <v>59</v>
      </c>
      <c r="C1" s="2" t="s">
        <v>353</v>
      </c>
      <c r="D1" s="2" t="s">
        <v>355</v>
      </c>
      <c r="E1" s="2" t="s">
        <v>356</v>
      </c>
      <c r="F1" s="3" t="s">
        <v>62</v>
      </c>
      <c r="G1" s="3" t="s">
        <v>62</v>
      </c>
    </row>
    <row r="2" spans="1:7" ht="16.5" customHeight="1" thickBot="1">
      <c r="A2" s="28" t="s">
        <v>225</v>
      </c>
      <c r="B2" s="29"/>
      <c r="C2" s="6" t="s">
        <v>354</v>
      </c>
      <c r="D2" s="6" t="s">
        <v>358</v>
      </c>
      <c r="E2" s="6" t="s">
        <v>357</v>
      </c>
      <c r="F2" s="9" t="s">
        <v>359</v>
      </c>
      <c r="G2" s="9" t="s">
        <v>360</v>
      </c>
    </row>
    <row r="3" spans="1:8" ht="16.5" customHeight="1">
      <c r="A3" s="13">
        <v>13.01</v>
      </c>
      <c r="B3" s="16" t="s">
        <v>180</v>
      </c>
      <c r="C3" s="17">
        <v>3664260</v>
      </c>
      <c r="D3" s="17">
        <f>5000000-250000</f>
        <v>4750000</v>
      </c>
      <c r="E3" s="17">
        <v>6500000</v>
      </c>
      <c r="F3" s="19">
        <f>IF(C3=0,"-",$E3/C3*100)</f>
        <v>177.38915906622344</v>
      </c>
      <c r="G3" s="19">
        <f>IF(D3=0,"-",$E3/D3*100)</f>
        <v>136.8421052631579</v>
      </c>
      <c r="H3" s="30">
        <f>SUM(E3:E5)</f>
        <v>8500000</v>
      </c>
    </row>
    <row r="4" spans="1:7" ht="16.5" customHeight="1">
      <c r="A4" s="31" t="s">
        <v>63</v>
      </c>
      <c r="B4" s="16" t="s">
        <v>238</v>
      </c>
      <c r="C4" s="17">
        <v>3871276</v>
      </c>
      <c r="D4" s="17">
        <v>5000000</v>
      </c>
      <c r="E4" s="17">
        <v>0</v>
      </c>
      <c r="F4" s="19">
        <f>IF(C4=0,"-",$E4/C4*100)</f>
        <v>0</v>
      </c>
      <c r="G4" s="19">
        <f>IF(D4=0,"-",$E4/D4*100)</f>
        <v>0</v>
      </c>
    </row>
    <row r="5" spans="1:7" ht="16.5" customHeight="1">
      <c r="A5" s="31" t="s">
        <v>63</v>
      </c>
      <c r="B5" s="16" t="s">
        <v>239</v>
      </c>
      <c r="C5" s="17">
        <v>242760</v>
      </c>
      <c r="D5" s="17">
        <f>2000000-1000000</f>
        <v>1000000</v>
      </c>
      <c r="E5" s="17">
        <v>2000000</v>
      </c>
      <c r="F5" s="19">
        <f aca="true" t="shared" si="0" ref="F5:F46">IF(C5=0,"-",$E5/C5*100)</f>
        <v>823.8589553468446</v>
      </c>
      <c r="G5" s="19">
        <f aca="true" t="shared" si="1" ref="G5:G46">IF(D5=0,"-",$E5/D5*100)</f>
        <v>200</v>
      </c>
    </row>
    <row r="6" spans="1:7" ht="16.5" customHeight="1">
      <c r="A6" s="13"/>
      <c r="B6" s="16" t="s">
        <v>201</v>
      </c>
      <c r="C6" s="17"/>
      <c r="D6" s="17"/>
      <c r="E6" s="17"/>
      <c r="F6" s="19" t="str">
        <f t="shared" si="0"/>
        <v>-</v>
      </c>
      <c r="G6" s="19" t="str">
        <f t="shared" si="1"/>
        <v>-</v>
      </c>
    </row>
    <row r="7" spans="1:7" ht="16.5" customHeight="1">
      <c r="A7" s="13">
        <v>13.02</v>
      </c>
      <c r="B7" s="16" t="s">
        <v>240</v>
      </c>
      <c r="C7" s="17">
        <v>10005660</v>
      </c>
      <c r="D7" s="17">
        <f>15400000-250000-1000000</f>
        <v>14150000</v>
      </c>
      <c r="E7" s="17">
        <v>13000000</v>
      </c>
      <c r="F7" s="19">
        <f t="shared" si="0"/>
        <v>129.92646162272155</v>
      </c>
      <c r="G7" s="19">
        <f t="shared" si="1"/>
        <v>91.87279151943463</v>
      </c>
    </row>
    <row r="8" spans="1:7" ht="16.5" customHeight="1">
      <c r="A8" s="13">
        <v>13.03</v>
      </c>
      <c r="B8" s="16" t="s">
        <v>198</v>
      </c>
      <c r="C8" s="17">
        <v>11361877</v>
      </c>
      <c r="D8" s="17">
        <f>13700000-1000000-3000000</f>
        <v>9700000</v>
      </c>
      <c r="E8" s="17">
        <v>14000000</v>
      </c>
      <c r="F8" s="19">
        <f t="shared" si="0"/>
        <v>123.21907727041932</v>
      </c>
      <c r="G8" s="19">
        <f t="shared" si="1"/>
        <v>144.3298969072165</v>
      </c>
    </row>
    <row r="9" spans="1:7" ht="16.5" customHeight="1">
      <c r="A9" s="13">
        <v>13.04</v>
      </c>
      <c r="B9" s="16" t="s">
        <v>181</v>
      </c>
      <c r="C9" s="17">
        <v>558698</v>
      </c>
      <c r="D9" s="17">
        <v>800000</v>
      </c>
      <c r="E9" s="17">
        <v>1200000</v>
      </c>
      <c r="F9" s="19">
        <f t="shared" si="0"/>
        <v>214.78508961907866</v>
      </c>
      <c r="G9" s="19">
        <f t="shared" si="1"/>
        <v>150</v>
      </c>
    </row>
    <row r="10" spans="1:7" ht="16.5" customHeight="1">
      <c r="A10" s="13">
        <v>13.05</v>
      </c>
      <c r="B10" s="16" t="s">
        <v>182</v>
      </c>
      <c r="C10" s="17">
        <v>1973926</v>
      </c>
      <c r="D10" s="17">
        <v>2150000</v>
      </c>
      <c r="E10" s="17">
        <v>3250000</v>
      </c>
      <c r="F10" s="19">
        <f t="shared" si="0"/>
        <v>164.64649637321764</v>
      </c>
      <c r="G10" s="19">
        <f t="shared" si="1"/>
        <v>151.1627906976744</v>
      </c>
    </row>
    <row r="11" spans="1:7" ht="16.5" customHeight="1">
      <c r="A11" s="13">
        <v>13.06</v>
      </c>
      <c r="B11" s="16" t="s">
        <v>241</v>
      </c>
      <c r="C11" s="17">
        <v>8133354</v>
      </c>
      <c r="D11" s="17">
        <v>8600000</v>
      </c>
      <c r="E11" s="17">
        <v>9500000</v>
      </c>
      <c r="F11" s="19">
        <f t="shared" si="0"/>
        <v>116.8029818940624</v>
      </c>
      <c r="G11" s="19">
        <f t="shared" si="1"/>
        <v>110.46511627906976</v>
      </c>
    </row>
    <row r="12" spans="1:7" ht="16.5" customHeight="1">
      <c r="A12" s="13">
        <v>13.07</v>
      </c>
      <c r="B12" s="16" t="s">
        <v>229</v>
      </c>
      <c r="C12" s="17">
        <v>2566580</v>
      </c>
      <c r="D12" s="17">
        <f>3000000+3000000</f>
        <v>6000000</v>
      </c>
      <c r="E12" s="17">
        <v>3000000</v>
      </c>
      <c r="F12" s="19">
        <f t="shared" si="0"/>
        <v>116.88706371903467</v>
      </c>
      <c r="G12" s="19">
        <f t="shared" si="1"/>
        <v>50</v>
      </c>
    </row>
    <row r="13" spans="1:7" ht="16.5" customHeight="1">
      <c r="A13" s="13">
        <v>13.08</v>
      </c>
      <c r="B13" s="16" t="s">
        <v>33</v>
      </c>
      <c r="C13" s="17">
        <v>2999990</v>
      </c>
      <c r="D13" s="17">
        <v>3300000</v>
      </c>
      <c r="E13" s="17">
        <v>3750000</v>
      </c>
      <c r="F13" s="19">
        <f t="shared" si="0"/>
        <v>125.00041666805556</v>
      </c>
      <c r="G13" s="19">
        <f t="shared" si="1"/>
        <v>113.63636363636364</v>
      </c>
    </row>
    <row r="14" spans="1:7" ht="16.5" customHeight="1">
      <c r="A14" s="13">
        <v>13.09</v>
      </c>
      <c r="B14" s="16" t="s">
        <v>226</v>
      </c>
      <c r="C14" s="17">
        <v>45485935</v>
      </c>
      <c r="D14" s="17">
        <v>46200000</v>
      </c>
      <c r="E14" s="17">
        <v>48400000</v>
      </c>
      <c r="F14" s="19">
        <f t="shared" si="0"/>
        <v>106.40651885027756</v>
      </c>
      <c r="G14" s="19">
        <f t="shared" si="1"/>
        <v>104.76190476190477</v>
      </c>
    </row>
    <row r="15" spans="1:8" ht="16.5" customHeight="1">
      <c r="A15" s="31" t="s">
        <v>219</v>
      </c>
      <c r="B15" s="16" t="s">
        <v>27</v>
      </c>
      <c r="C15" s="17">
        <v>7824600</v>
      </c>
      <c r="D15" s="17">
        <v>5000000</v>
      </c>
      <c r="E15" s="17">
        <v>7065360</v>
      </c>
      <c r="F15" s="19">
        <f t="shared" si="0"/>
        <v>90.2967563837129</v>
      </c>
      <c r="G15" s="19">
        <f t="shared" si="1"/>
        <v>141.30720000000002</v>
      </c>
      <c r="H15" s="30">
        <f>SUM(E15:E16)</f>
        <v>9065360</v>
      </c>
    </row>
    <row r="16" spans="1:7" ht="16.5" customHeight="1">
      <c r="A16" s="31" t="s">
        <v>219</v>
      </c>
      <c r="B16" s="16" t="s">
        <v>348</v>
      </c>
      <c r="C16" s="17">
        <v>0</v>
      </c>
      <c r="D16" s="17">
        <v>10500000</v>
      </c>
      <c r="E16" s="17">
        <v>2000000</v>
      </c>
      <c r="F16" s="19" t="str">
        <f t="shared" si="0"/>
        <v>-</v>
      </c>
      <c r="G16" s="19">
        <f t="shared" si="1"/>
        <v>19.047619047619047</v>
      </c>
    </row>
    <row r="17" spans="1:7" ht="16.5" customHeight="1">
      <c r="A17" s="31" t="s">
        <v>220</v>
      </c>
      <c r="B17" s="16" t="s">
        <v>242</v>
      </c>
      <c r="C17" s="17">
        <v>1158067</v>
      </c>
      <c r="D17" s="17">
        <v>1200000</v>
      </c>
      <c r="E17" s="17">
        <v>1300000</v>
      </c>
      <c r="F17" s="19">
        <f t="shared" si="0"/>
        <v>112.25602663749162</v>
      </c>
      <c r="G17" s="19">
        <f t="shared" si="1"/>
        <v>108.33333333333333</v>
      </c>
    </row>
    <row r="18" spans="1:8" ht="16.5" customHeight="1">
      <c r="A18" s="31" t="s">
        <v>221</v>
      </c>
      <c r="B18" s="16" t="s">
        <v>28</v>
      </c>
      <c r="C18" s="17">
        <v>2500000</v>
      </c>
      <c r="D18" s="17">
        <v>2660000</v>
      </c>
      <c r="E18" s="17">
        <v>2800000</v>
      </c>
      <c r="F18" s="19">
        <f t="shared" si="0"/>
        <v>112.00000000000001</v>
      </c>
      <c r="G18" s="19">
        <f t="shared" si="1"/>
        <v>105.26315789473684</v>
      </c>
      <c r="H18" s="30">
        <f>SUM(E18:E20)</f>
        <v>4580000</v>
      </c>
    </row>
    <row r="19" spans="1:7" ht="16.5" customHeight="1">
      <c r="A19" s="31" t="s">
        <v>221</v>
      </c>
      <c r="B19" s="16" t="s">
        <v>191</v>
      </c>
      <c r="C19" s="17">
        <v>550000</v>
      </c>
      <c r="D19" s="17">
        <v>590000</v>
      </c>
      <c r="E19" s="17">
        <v>620000</v>
      </c>
      <c r="F19" s="19">
        <f t="shared" si="0"/>
        <v>112.72727272727272</v>
      </c>
      <c r="G19" s="19">
        <f t="shared" si="1"/>
        <v>105.08474576271188</v>
      </c>
    </row>
    <row r="20" spans="1:7" ht="16.5" customHeight="1">
      <c r="A20" s="31" t="s">
        <v>221</v>
      </c>
      <c r="B20" s="16" t="s">
        <v>193</v>
      </c>
      <c r="C20" s="17">
        <v>1000000</v>
      </c>
      <c r="D20" s="17">
        <v>1100000</v>
      </c>
      <c r="E20" s="17">
        <v>1160000</v>
      </c>
      <c r="F20" s="19">
        <f t="shared" si="0"/>
        <v>115.99999999999999</v>
      </c>
      <c r="G20" s="19">
        <f t="shared" si="1"/>
        <v>105.45454545454544</v>
      </c>
    </row>
    <row r="21" spans="1:7" ht="16.5" customHeight="1">
      <c r="A21" s="31" t="s">
        <v>66</v>
      </c>
      <c r="B21" s="16" t="s">
        <v>54</v>
      </c>
      <c r="C21" s="17">
        <v>5000000</v>
      </c>
      <c r="D21" s="17">
        <v>3000000</v>
      </c>
      <c r="E21" s="17">
        <v>0</v>
      </c>
      <c r="F21" s="19">
        <f t="shared" si="0"/>
        <v>0</v>
      </c>
      <c r="G21" s="19">
        <f t="shared" si="1"/>
        <v>0</v>
      </c>
    </row>
    <row r="22" spans="1:7" ht="16.5" customHeight="1">
      <c r="A22" s="31" t="s">
        <v>67</v>
      </c>
      <c r="B22" s="16" t="s">
        <v>20</v>
      </c>
      <c r="C22" s="17">
        <v>1100000</v>
      </c>
      <c r="D22" s="17">
        <v>1100000</v>
      </c>
      <c r="E22" s="17">
        <v>1160000</v>
      </c>
      <c r="F22" s="19">
        <f t="shared" si="0"/>
        <v>105.45454545454544</v>
      </c>
      <c r="G22" s="19">
        <f t="shared" si="1"/>
        <v>105.45454545454544</v>
      </c>
    </row>
    <row r="23" spans="1:7" ht="16.5" customHeight="1">
      <c r="A23" s="31" t="s">
        <v>68</v>
      </c>
      <c r="B23" s="16" t="s">
        <v>163</v>
      </c>
      <c r="C23" s="17">
        <v>17213934</v>
      </c>
      <c r="D23" s="17">
        <v>17000000</v>
      </c>
      <c r="E23" s="17">
        <v>16000000</v>
      </c>
      <c r="F23" s="19">
        <f t="shared" si="0"/>
        <v>92.94795716075129</v>
      </c>
      <c r="G23" s="19">
        <f t="shared" si="1"/>
        <v>94.11764705882352</v>
      </c>
    </row>
    <row r="24" spans="1:7" ht="16.5" customHeight="1">
      <c r="A24" s="31" t="s">
        <v>70</v>
      </c>
      <c r="B24" s="16" t="s">
        <v>175</v>
      </c>
      <c r="C24" s="17">
        <v>30184056</v>
      </c>
      <c r="D24" s="17">
        <f>28400000+1600000</f>
        <v>30000000</v>
      </c>
      <c r="E24" s="17">
        <v>30000000</v>
      </c>
      <c r="F24" s="19">
        <f t="shared" si="0"/>
        <v>99.39022111541273</v>
      </c>
      <c r="G24" s="19">
        <f t="shared" si="1"/>
        <v>100</v>
      </c>
    </row>
    <row r="25" spans="1:7" ht="16.5" customHeight="1">
      <c r="A25" s="31" t="s">
        <v>222</v>
      </c>
      <c r="B25" s="16" t="s">
        <v>316</v>
      </c>
      <c r="C25" s="17">
        <v>19885367</v>
      </c>
      <c r="D25" s="17">
        <f>18500000-3500000-5000000+3000000</f>
        <v>13000000</v>
      </c>
      <c r="E25" s="17">
        <v>11000000</v>
      </c>
      <c r="F25" s="19">
        <f t="shared" si="0"/>
        <v>55.31705801557497</v>
      </c>
      <c r="G25" s="19">
        <f t="shared" si="1"/>
        <v>84.61538461538461</v>
      </c>
    </row>
    <row r="26" spans="1:7" ht="16.5" customHeight="1">
      <c r="A26" s="31" t="s">
        <v>71</v>
      </c>
      <c r="B26" s="16" t="s">
        <v>18</v>
      </c>
      <c r="C26" s="17">
        <v>4115701</v>
      </c>
      <c r="D26" s="17">
        <v>4500000</v>
      </c>
      <c r="E26" s="17">
        <v>4750000</v>
      </c>
      <c r="F26" s="19">
        <f t="shared" si="0"/>
        <v>115.41168806966297</v>
      </c>
      <c r="G26" s="19">
        <f t="shared" si="1"/>
        <v>105.55555555555556</v>
      </c>
    </row>
    <row r="27" spans="1:8" ht="16.5" customHeight="1">
      <c r="A27" s="31" t="s">
        <v>69</v>
      </c>
      <c r="B27" s="16" t="s">
        <v>19</v>
      </c>
      <c r="C27" s="17">
        <v>4103405</v>
      </c>
      <c r="D27" s="17">
        <v>4500000</v>
      </c>
      <c r="E27" s="17">
        <v>4750000</v>
      </c>
      <c r="F27" s="19">
        <f t="shared" si="0"/>
        <v>115.75752332514095</v>
      </c>
      <c r="G27" s="19">
        <f t="shared" si="1"/>
        <v>105.55555555555556</v>
      </c>
      <c r="H27" s="30">
        <f>SUM(E27:E30)</f>
        <v>10750000</v>
      </c>
    </row>
    <row r="28" spans="1:7" ht="16.5" customHeight="1">
      <c r="A28" s="31" t="s">
        <v>69</v>
      </c>
      <c r="B28" s="16" t="s">
        <v>337</v>
      </c>
      <c r="C28" s="17">
        <v>0</v>
      </c>
      <c r="D28" s="17">
        <v>3000000</v>
      </c>
      <c r="E28" s="17">
        <v>3000000</v>
      </c>
      <c r="F28" s="19" t="str">
        <f t="shared" si="0"/>
        <v>-</v>
      </c>
      <c r="G28" s="19">
        <f t="shared" si="1"/>
        <v>100</v>
      </c>
    </row>
    <row r="29" spans="1:7" ht="16.5" customHeight="1">
      <c r="A29" s="31" t="s">
        <v>69</v>
      </c>
      <c r="B29" s="16" t="s">
        <v>446</v>
      </c>
      <c r="C29" s="17">
        <v>0</v>
      </c>
      <c r="D29" s="17">
        <v>0</v>
      </c>
      <c r="E29" s="17">
        <v>3000000</v>
      </c>
      <c r="F29" s="19" t="str">
        <f t="shared" si="0"/>
        <v>-</v>
      </c>
      <c r="G29" s="19" t="str">
        <f t="shared" si="1"/>
        <v>-</v>
      </c>
    </row>
    <row r="30" spans="1:7" ht="16.5" customHeight="1">
      <c r="A30" s="31" t="s">
        <v>69</v>
      </c>
      <c r="B30" s="16" t="s">
        <v>365</v>
      </c>
      <c r="C30" s="17">
        <v>4000000</v>
      </c>
      <c r="D30" s="17">
        <v>0</v>
      </c>
      <c r="E30" s="17">
        <v>0</v>
      </c>
      <c r="F30" s="19">
        <f>IF(C30=0,"-",$E30/C30*100)</f>
        <v>0</v>
      </c>
      <c r="G30" s="19" t="str">
        <f>IF(D30=0,"-",$E30/D30*100)</f>
        <v>-</v>
      </c>
    </row>
    <row r="31" spans="1:7" ht="16.5" customHeight="1">
      <c r="A31" s="31" t="s">
        <v>65</v>
      </c>
      <c r="B31" s="16" t="s">
        <v>56</v>
      </c>
      <c r="C31" s="17">
        <v>1500000</v>
      </c>
      <c r="D31" s="17">
        <v>1500000</v>
      </c>
      <c r="E31" s="17">
        <v>1500000</v>
      </c>
      <c r="F31" s="19">
        <f t="shared" si="0"/>
        <v>100</v>
      </c>
      <c r="G31" s="19">
        <f t="shared" si="1"/>
        <v>100</v>
      </c>
    </row>
    <row r="32" spans="1:8" ht="16.5" customHeight="1">
      <c r="A32" s="31" t="s">
        <v>64</v>
      </c>
      <c r="B32" s="16" t="s">
        <v>29</v>
      </c>
      <c r="C32" s="17">
        <v>121873</v>
      </c>
      <c r="D32" s="17">
        <v>1000000</v>
      </c>
      <c r="E32" s="17">
        <v>0</v>
      </c>
      <c r="F32" s="19">
        <f t="shared" si="0"/>
        <v>0</v>
      </c>
      <c r="G32" s="19">
        <f t="shared" si="1"/>
        <v>0</v>
      </c>
      <c r="H32" s="30">
        <f>SUM(E32:E34)</f>
        <v>37000000</v>
      </c>
    </row>
    <row r="33" spans="1:8" ht="16.5" customHeight="1">
      <c r="A33" s="31" t="s">
        <v>64</v>
      </c>
      <c r="B33" s="16" t="s">
        <v>442</v>
      </c>
      <c r="C33" s="17">
        <v>0</v>
      </c>
      <c r="D33" s="17">
        <f>10500000+3000000</f>
        <v>13500000</v>
      </c>
      <c r="E33" s="17">
        <v>14500000</v>
      </c>
      <c r="F33" s="19" t="str">
        <f t="shared" si="0"/>
        <v>-</v>
      </c>
      <c r="G33" s="19">
        <f t="shared" si="1"/>
        <v>107.40740740740742</v>
      </c>
      <c r="H33" s="30"/>
    </row>
    <row r="34" spans="1:8" ht="16.5" customHeight="1">
      <c r="A34" s="31" t="s">
        <v>64</v>
      </c>
      <c r="B34" s="16" t="s">
        <v>416</v>
      </c>
      <c r="C34" s="17">
        <v>0</v>
      </c>
      <c r="D34" s="17">
        <v>0</v>
      </c>
      <c r="E34" s="17">
        <v>22500000</v>
      </c>
      <c r="F34" s="19" t="str">
        <f>IF(C34=0,"-",$E34/C34*100)</f>
        <v>-</v>
      </c>
      <c r="G34" s="19" t="str">
        <f>IF(D34=0,"-",$E34/D34*100)</f>
        <v>-</v>
      </c>
      <c r="H34" s="30"/>
    </row>
    <row r="35" spans="1:7" ht="16.5" customHeight="1">
      <c r="A35" s="31" t="s">
        <v>156</v>
      </c>
      <c r="B35" s="16" t="s">
        <v>157</v>
      </c>
      <c r="C35" s="17">
        <v>1000000</v>
      </c>
      <c r="D35" s="17">
        <v>1000000</v>
      </c>
      <c r="E35" s="17">
        <v>0</v>
      </c>
      <c r="F35" s="19">
        <f t="shared" si="0"/>
        <v>0</v>
      </c>
      <c r="G35" s="19">
        <f t="shared" si="1"/>
        <v>0</v>
      </c>
    </row>
    <row r="36" spans="1:7" ht="16.5" customHeight="1">
      <c r="A36" s="31" t="s">
        <v>164</v>
      </c>
      <c r="B36" s="16" t="s">
        <v>178</v>
      </c>
      <c r="C36" s="17">
        <v>33200004</v>
      </c>
      <c r="D36" s="17">
        <f>35500000+2000000</f>
        <v>37500000</v>
      </c>
      <c r="E36" s="17">
        <v>45000000</v>
      </c>
      <c r="F36" s="19">
        <f t="shared" si="0"/>
        <v>135.542152344319</v>
      </c>
      <c r="G36" s="19">
        <f t="shared" si="1"/>
        <v>120</v>
      </c>
    </row>
    <row r="37" spans="1:7" ht="16.5" customHeight="1">
      <c r="A37" s="31" t="s">
        <v>223</v>
      </c>
      <c r="B37" s="16" t="s">
        <v>317</v>
      </c>
      <c r="C37" s="17">
        <v>56065755</v>
      </c>
      <c r="D37" s="17">
        <f>41700000+11500000+500000+2000000+3500000</f>
        <v>59200000</v>
      </c>
      <c r="E37" s="17">
        <v>60000000</v>
      </c>
      <c r="F37" s="19">
        <f t="shared" si="0"/>
        <v>107.01719793125055</v>
      </c>
      <c r="G37" s="19">
        <f t="shared" si="1"/>
        <v>101.35135135135135</v>
      </c>
    </row>
    <row r="38" spans="1:7" ht="16.5" customHeight="1">
      <c r="A38" s="13">
        <v>13.25</v>
      </c>
      <c r="B38" s="16" t="s">
        <v>329</v>
      </c>
      <c r="C38" s="17">
        <v>27888835</v>
      </c>
      <c r="D38" s="17">
        <f>2200000+281000-2481000</f>
        <v>0</v>
      </c>
      <c r="E38" s="17">
        <v>0</v>
      </c>
      <c r="F38" s="19">
        <f t="shared" si="0"/>
        <v>0</v>
      </c>
      <c r="G38" s="19" t="str">
        <f t="shared" si="1"/>
        <v>-</v>
      </c>
    </row>
    <row r="39" spans="1:7" ht="16.5" customHeight="1">
      <c r="A39" s="31" t="s">
        <v>224</v>
      </c>
      <c r="B39" s="16" t="s">
        <v>21</v>
      </c>
      <c r="C39" s="17">
        <v>0</v>
      </c>
      <c r="D39" s="17">
        <v>10700000</v>
      </c>
      <c r="E39" s="17">
        <v>0</v>
      </c>
      <c r="F39" s="19" t="str">
        <f t="shared" si="0"/>
        <v>-</v>
      </c>
      <c r="G39" s="19">
        <f t="shared" si="1"/>
        <v>0</v>
      </c>
    </row>
    <row r="40" spans="1:7" ht="16.5" customHeight="1">
      <c r="A40" s="31">
        <v>13.27</v>
      </c>
      <c r="B40" s="16" t="s">
        <v>318</v>
      </c>
      <c r="C40" s="17">
        <v>42536516</v>
      </c>
      <c r="D40" s="17">
        <v>0</v>
      </c>
      <c r="E40" s="17">
        <v>0</v>
      </c>
      <c r="F40" s="19">
        <f t="shared" si="0"/>
        <v>0</v>
      </c>
      <c r="G40" s="19" t="str">
        <f t="shared" si="1"/>
        <v>-</v>
      </c>
    </row>
    <row r="41" spans="1:7" ht="16.5" customHeight="1">
      <c r="A41" s="31">
        <v>13.28</v>
      </c>
      <c r="B41" s="16" t="s">
        <v>232</v>
      </c>
      <c r="C41" s="17">
        <v>4034429</v>
      </c>
      <c r="D41" s="17">
        <f>6800000+8200000+2000000+2000000</f>
        <v>19000000</v>
      </c>
      <c r="E41" s="17">
        <v>16000000</v>
      </c>
      <c r="F41" s="19">
        <f t="shared" si="0"/>
        <v>396.58648101131536</v>
      </c>
      <c r="G41" s="19">
        <f t="shared" si="1"/>
        <v>84.21052631578947</v>
      </c>
    </row>
    <row r="42" spans="1:7" ht="16.5" customHeight="1">
      <c r="A42" s="31">
        <v>13.29</v>
      </c>
      <c r="B42" s="16" t="s">
        <v>434</v>
      </c>
      <c r="C42" s="17">
        <v>0</v>
      </c>
      <c r="D42" s="17">
        <v>3000000</v>
      </c>
      <c r="E42" s="17">
        <v>0</v>
      </c>
      <c r="F42" s="19" t="str">
        <f t="shared" si="0"/>
        <v>-</v>
      </c>
      <c r="G42" s="19">
        <f t="shared" si="1"/>
        <v>0</v>
      </c>
    </row>
    <row r="43" spans="1:7" ht="16.5" customHeight="1">
      <c r="A43" s="31" t="s">
        <v>435</v>
      </c>
      <c r="B43" s="16" t="s">
        <v>436</v>
      </c>
      <c r="C43" s="17">
        <v>0</v>
      </c>
      <c r="D43" s="17">
        <v>0</v>
      </c>
      <c r="E43" s="17">
        <v>79000000</v>
      </c>
      <c r="F43" s="19" t="str">
        <f t="shared" si="0"/>
        <v>-</v>
      </c>
      <c r="G43" s="19" t="str">
        <f t="shared" si="1"/>
        <v>-</v>
      </c>
    </row>
    <row r="44" spans="1:7" ht="16.5" customHeight="1">
      <c r="A44" s="31" t="s">
        <v>443</v>
      </c>
      <c r="B44" s="16" t="s">
        <v>444</v>
      </c>
      <c r="C44" s="17">
        <v>0</v>
      </c>
      <c r="D44" s="17">
        <v>0</v>
      </c>
      <c r="E44" s="17">
        <v>30000000</v>
      </c>
      <c r="F44" s="19" t="str">
        <f t="shared" si="0"/>
        <v>-</v>
      </c>
      <c r="G44" s="19" t="str">
        <f t="shared" si="1"/>
        <v>-</v>
      </c>
    </row>
    <row r="45" spans="1:7" ht="16.5" customHeight="1">
      <c r="A45" s="31"/>
      <c r="B45" s="16"/>
      <c r="C45" s="17"/>
      <c r="D45" s="17"/>
      <c r="E45" s="17"/>
      <c r="F45" s="19"/>
      <c r="G45" s="19"/>
    </row>
    <row r="46" spans="1:7" ht="16.5" customHeight="1" thickBot="1">
      <c r="A46" s="32"/>
      <c r="B46" s="33" t="s">
        <v>253</v>
      </c>
      <c r="C46" s="34">
        <f>SUM(C3:C45)</f>
        <v>355846858</v>
      </c>
      <c r="D46" s="34">
        <f>SUM(D3:D45)</f>
        <v>345200000</v>
      </c>
      <c r="E46" s="34">
        <f>SUM(E3:E45)</f>
        <v>461705360</v>
      </c>
      <c r="F46" s="35">
        <f t="shared" si="0"/>
        <v>129.74833123298225</v>
      </c>
      <c r="G46" s="35">
        <f t="shared" si="1"/>
        <v>133.75010428736965</v>
      </c>
    </row>
  </sheetData>
  <printOptions/>
  <pageMargins left="0.19" right="0.17" top="0.81" bottom="0.18" header="0.29" footer="0.18"/>
  <pageSetup firstPageNumber="25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2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8" customHeight="1"/>
  <cols>
    <col min="1" max="1" width="7.00390625" style="91" customWidth="1"/>
    <col min="2" max="2" width="42.125" style="23" customWidth="1"/>
    <col min="3" max="3" width="12.625" style="25" customWidth="1"/>
    <col min="4" max="4" width="14.625" style="25" customWidth="1"/>
    <col min="5" max="5" width="11.125" style="25" bestFit="1" customWidth="1"/>
    <col min="6" max="6" width="7.75390625" style="92" customWidth="1"/>
    <col min="7" max="7" width="7.625" style="92" customWidth="1"/>
    <col min="8" max="8" width="10.125" style="4" bestFit="1" customWidth="1"/>
    <col min="9" max="16384" width="9.125" style="4" customWidth="1"/>
  </cols>
  <sheetData>
    <row r="1" spans="1:7" ht="18" customHeight="1">
      <c r="A1" s="1" t="s">
        <v>35</v>
      </c>
      <c r="B1" s="27" t="s">
        <v>59</v>
      </c>
      <c r="C1" s="100" t="s">
        <v>353</v>
      </c>
      <c r="D1" s="100" t="s">
        <v>355</v>
      </c>
      <c r="E1" s="100" t="s">
        <v>356</v>
      </c>
      <c r="F1" s="3" t="s">
        <v>62</v>
      </c>
      <c r="G1" s="3" t="s">
        <v>62</v>
      </c>
    </row>
    <row r="2" spans="1:7" ht="18" customHeight="1" thickBot="1">
      <c r="A2" s="28" t="s">
        <v>34</v>
      </c>
      <c r="B2" s="29"/>
      <c r="C2" s="8">
        <v>2001</v>
      </c>
      <c r="D2" s="8" t="s">
        <v>358</v>
      </c>
      <c r="E2" s="8">
        <v>2003</v>
      </c>
      <c r="F2" s="9" t="s">
        <v>359</v>
      </c>
      <c r="G2" s="9" t="s">
        <v>360</v>
      </c>
    </row>
    <row r="3" spans="1:7" ht="18" customHeight="1">
      <c r="A3" s="93"/>
      <c r="B3" s="94"/>
      <c r="C3" s="101"/>
      <c r="D3" s="101"/>
      <c r="E3" s="101"/>
      <c r="F3" s="102" t="str">
        <f>IF(C3=0,"-",$E3/C3*100)</f>
        <v>-</v>
      </c>
      <c r="G3" s="102" t="str">
        <f>IF(D3=0,"-",$E3/D3*100)</f>
        <v>-</v>
      </c>
    </row>
    <row r="4" spans="1:7" ht="18" customHeight="1">
      <c r="A4" s="10" t="s">
        <v>75</v>
      </c>
      <c r="B4" s="16" t="s">
        <v>399</v>
      </c>
      <c r="C4" s="72">
        <v>2245538</v>
      </c>
      <c r="D4" s="72">
        <f>2200000+1200000</f>
        <v>3400000</v>
      </c>
      <c r="E4" s="72">
        <v>3000000</v>
      </c>
      <c r="F4" s="19">
        <f>IF(C4=0,"-",$E4/C4*100)</f>
        <v>133.5982735540436</v>
      </c>
      <c r="G4" s="19">
        <f>IF(D4=0,"-",$E4/D4*100)</f>
        <v>88.23529411764706</v>
      </c>
    </row>
    <row r="5" spans="1:7" ht="18" customHeight="1">
      <c r="A5" s="10" t="s">
        <v>81</v>
      </c>
      <c r="B5" s="16" t="s">
        <v>400</v>
      </c>
      <c r="C5" s="72">
        <v>7798517</v>
      </c>
      <c r="D5" s="72">
        <v>7800000</v>
      </c>
      <c r="E5" s="72">
        <v>7000000</v>
      </c>
      <c r="F5" s="19">
        <f aca="true" t="shared" si="0" ref="F5:F22">IF(C5=0,"-",$E5/C5*100)</f>
        <v>89.76065577596356</v>
      </c>
      <c r="G5" s="19">
        <f aca="true" t="shared" si="1" ref="G5:G22">IF(D5=0,"-",$E5/D5*100)</f>
        <v>89.74358974358975</v>
      </c>
    </row>
    <row r="6" spans="1:7" ht="18" customHeight="1">
      <c r="A6" s="10" t="s">
        <v>80</v>
      </c>
      <c r="B6" s="16" t="s">
        <v>401</v>
      </c>
      <c r="C6" s="72">
        <v>49999994</v>
      </c>
      <c r="D6" s="72">
        <f>55000000+4000000</f>
        <v>59000000</v>
      </c>
      <c r="E6" s="72">
        <v>78000000</v>
      </c>
      <c r="F6" s="19">
        <f t="shared" si="0"/>
        <v>156.00001872000223</v>
      </c>
      <c r="G6" s="19">
        <f t="shared" si="1"/>
        <v>132.20338983050848</v>
      </c>
    </row>
    <row r="7" spans="1:7" ht="18" customHeight="1">
      <c r="A7" s="10" t="s">
        <v>79</v>
      </c>
      <c r="B7" s="16" t="s">
        <v>402</v>
      </c>
      <c r="C7" s="72">
        <v>4700797</v>
      </c>
      <c r="D7" s="72">
        <f>5000000+1000000</f>
        <v>6000000</v>
      </c>
      <c r="E7" s="72">
        <v>6000000</v>
      </c>
      <c r="F7" s="19">
        <f t="shared" si="0"/>
        <v>127.63793033394124</v>
      </c>
      <c r="G7" s="19">
        <f t="shared" si="1"/>
        <v>100</v>
      </c>
    </row>
    <row r="8" spans="1:7" ht="18" customHeight="1">
      <c r="A8" s="10" t="s">
        <v>78</v>
      </c>
      <c r="B8" s="16" t="s">
        <v>403</v>
      </c>
      <c r="C8" s="72">
        <v>7500006</v>
      </c>
      <c r="D8" s="72">
        <v>8000000</v>
      </c>
      <c r="E8" s="72">
        <v>9000000</v>
      </c>
      <c r="F8" s="19">
        <f t="shared" si="0"/>
        <v>119.99990400007681</v>
      </c>
      <c r="G8" s="19">
        <f t="shared" si="1"/>
        <v>112.5</v>
      </c>
    </row>
    <row r="9" spans="1:7" ht="18" customHeight="1">
      <c r="A9" s="10" t="s">
        <v>77</v>
      </c>
      <c r="B9" s="16" t="s">
        <v>404</v>
      </c>
      <c r="C9" s="72">
        <v>3980000</v>
      </c>
      <c r="D9" s="72">
        <f>4000000+400000</f>
        <v>4400000</v>
      </c>
      <c r="E9" s="72">
        <v>4000000</v>
      </c>
      <c r="F9" s="19">
        <f t="shared" si="0"/>
        <v>100.50251256281406</v>
      </c>
      <c r="G9" s="19">
        <f t="shared" si="1"/>
        <v>90.9090909090909</v>
      </c>
    </row>
    <row r="10" spans="1:8" s="104" customFormat="1" ht="18" customHeight="1">
      <c r="A10" s="10" t="s">
        <v>76</v>
      </c>
      <c r="B10" s="16" t="s">
        <v>185</v>
      </c>
      <c r="C10" s="72">
        <v>40000000</v>
      </c>
      <c r="D10" s="72">
        <v>19000000</v>
      </c>
      <c r="E10" s="72">
        <v>0</v>
      </c>
      <c r="F10" s="19">
        <f t="shared" si="0"/>
        <v>0</v>
      </c>
      <c r="G10" s="19">
        <f t="shared" si="1"/>
        <v>0</v>
      </c>
      <c r="H10" s="103">
        <f>SUM(E10:E12)</f>
        <v>5000000</v>
      </c>
    </row>
    <row r="11" spans="1:7" s="104" customFormat="1" ht="18" customHeight="1">
      <c r="A11" s="10" t="s">
        <v>76</v>
      </c>
      <c r="B11" s="16" t="s">
        <v>370</v>
      </c>
      <c r="C11" s="72">
        <v>2000000</v>
      </c>
      <c r="D11" s="72">
        <v>0</v>
      </c>
      <c r="E11" s="72">
        <v>0</v>
      </c>
      <c r="F11" s="19">
        <f t="shared" si="0"/>
        <v>0</v>
      </c>
      <c r="G11" s="19" t="str">
        <f t="shared" si="1"/>
        <v>-</v>
      </c>
    </row>
    <row r="12" spans="1:7" ht="18" customHeight="1">
      <c r="A12" s="10" t="s">
        <v>76</v>
      </c>
      <c r="B12" s="16" t="s">
        <v>405</v>
      </c>
      <c r="C12" s="72">
        <v>6020743</v>
      </c>
      <c r="D12" s="72">
        <v>5000000</v>
      </c>
      <c r="E12" s="72">
        <v>5000000</v>
      </c>
      <c r="F12" s="19">
        <f t="shared" si="0"/>
        <v>83.04622867974932</v>
      </c>
      <c r="G12" s="19">
        <f t="shared" si="1"/>
        <v>100</v>
      </c>
    </row>
    <row r="13" spans="1:8" ht="18" customHeight="1">
      <c r="A13" s="10" t="s">
        <v>74</v>
      </c>
      <c r="B13" s="16" t="s">
        <v>236</v>
      </c>
      <c r="C13" s="72">
        <v>3000000</v>
      </c>
      <c r="D13" s="72">
        <v>15000000</v>
      </c>
      <c r="E13" s="72">
        <v>10000000</v>
      </c>
      <c r="F13" s="19">
        <f t="shared" si="0"/>
        <v>333.33333333333337</v>
      </c>
      <c r="G13" s="19">
        <f t="shared" si="1"/>
        <v>66.66666666666666</v>
      </c>
      <c r="H13" s="105">
        <f>SUM(E13:E16)</f>
        <v>27200000</v>
      </c>
    </row>
    <row r="14" spans="1:7" ht="18" customHeight="1">
      <c r="A14" s="10" t="s">
        <v>74</v>
      </c>
      <c r="B14" s="16" t="s">
        <v>419</v>
      </c>
      <c r="C14" s="72">
        <v>0</v>
      </c>
      <c r="D14" s="72">
        <v>0</v>
      </c>
      <c r="E14" s="72">
        <v>2000000</v>
      </c>
      <c r="F14" s="19" t="str">
        <f t="shared" si="0"/>
        <v>-</v>
      </c>
      <c r="G14" s="19" t="str">
        <f t="shared" si="1"/>
        <v>-</v>
      </c>
    </row>
    <row r="15" spans="1:7" ht="18" customHeight="1">
      <c r="A15" s="10" t="s">
        <v>74</v>
      </c>
      <c r="B15" s="16" t="s">
        <v>420</v>
      </c>
      <c r="C15" s="72">
        <v>0</v>
      </c>
      <c r="D15" s="72">
        <v>0</v>
      </c>
      <c r="E15" s="72">
        <v>15200000</v>
      </c>
      <c r="F15" s="19" t="str">
        <f t="shared" si="0"/>
        <v>-</v>
      </c>
      <c r="G15" s="19" t="str">
        <f t="shared" si="1"/>
        <v>-</v>
      </c>
    </row>
    <row r="16" spans="1:7" ht="18" customHeight="1">
      <c r="A16" s="10" t="s">
        <v>74</v>
      </c>
      <c r="B16" s="16" t="s">
        <v>347</v>
      </c>
      <c r="C16" s="72">
        <v>0</v>
      </c>
      <c r="D16" s="72">
        <f>2000000+1750000</f>
        <v>3750000</v>
      </c>
      <c r="E16" s="72">
        <v>0</v>
      </c>
      <c r="F16" s="19" t="str">
        <f t="shared" si="0"/>
        <v>-</v>
      </c>
      <c r="G16" s="19">
        <f t="shared" si="1"/>
        <v>0</v>
      </c>
    </row>
    <row r="17" spans="1:7" ht="18" customHeight="1">
      <c r="A17" s="10" t="s">
        <v>73</v>
      </c>
      <c r="B17" s="16" t="s">
        <v>406</v>
      </c>
      <c r="C17" s="72">
        <v>17726845</v>
      </c>
      <c r="D17" s="72">
        <v>23300000</v>
      </c>
      <c r="E17" s="72">
        <v>23300000</v>
      </c>
      <c r="F17" s="19">
        <f t="shared" si="0"/>
        <v>131.4390688247119</v>
      </c>
      <c r="G17" s="19">
        <f t="shared" si="1"/>
        <v>100</v>
      </c>
    </row>
    <row r="18" spans="1:7" ht="18" customHeight="1">
      <c r="A18" s="10" t="s">
        <v>73</v>
      </c>
      <c r="B18" s="16" t="s">
        <v>410</v>
      </c>
      <c r="C18" s="72">
        <v>7000000</v>
      </c>
      <c r="D18" s="72">
        <v>0</v>
      </c>
      <c r="E18" s="72">
        <v>0</v>
      </c>
      <c r="F18" s="19">
        <f t="shared" si="0"/>
        <v>0</v>
      </c>
      <c r="G18" s="19" t="str">
        <f t="shared" si="1"/>
        <v>-</v>
      </c>
    </row>
    <row r="19" spans="1:7" ht="18" customHeight="1">
      <c r="A19" s="10" t="s">
        <v>342</v>
      </c>
      <c r="B19" s="16" t="s">
        <v>345</v>
      </c>
      <c r="C19" s="72">
        <v>0</v>
      </c>
      <c r="D19" s="72">
        <f>4000000-1150000</f>
        <v>2850000</v>
      </c>
      <c r="E19" s="72">
        <v>0</v>
      </c>
      <c r="F19" s="19" t="str">
        <f t="shared" si="0"/>
        <v>-</v>
      </c>
      <c r="G19" s="19">
        <f t="shared" si="1"/>
        <v>0</v>
      </c>
    </row>
    <row r="20" spans="1:7" ht="18" customHeight="1">
      <c r="A20" s="10"/>
      <c r="B20" s="16"/>
      <c r="C20" s="72"/>
      <c r="D20" s="72"/>
      <c r="E20" s="72"/>
      <c r="F20" s="19"/>
      <c r="G20" s="19"/>
    </row>
    <row r="21" spans="1:7" ht="18" customHeight="1">
      <c r="A21" s="18"/>
      <c r="B21" s="16"/>
      <c r="C21" s="72"/>
      <c r="D21" s="72"/>
      <c r="E21" s="72"/>
      <c r="F21" s="19"/>
      <c r="G21" s="19"/>
    </row>
    <row r="22" spans="1:7" ht="18" customHeight="1" thickBot="1">
      <c r="A22" s="73"/>
      <c r="B22" s="33" t="s">
        <v>253</v>
      </c>
      <c r="C22" s="106">
        <f>SUM(C4:C21)</f>
        <v>151972440</v>
      </c>
      <c r="D22" s="106">
        <f>SUM(D4:D21)</f>
        <v>157500000</v>
      </c>
      <c r="E22" s="106">
        <f>SUM(E4:E21)</f>
        <v>162500000</v>
      </c>
      <c r="F22" s="35">
        <f t="shared" si="0"/>
        <v>106.92728234145612</v>
      </c>
      <c r="G22" s="35">
        <f t="shared" si="1"/>
        <v>103.17460317460319</v>
      </c>
    </row>
    <row r="23" spans="3:7" ht="18" customHeight="1">
      <c r="C23" s="107"/>
      <c r="D23" s="107"/>
      <c r="E23" s="107"/>
      <c r="F23" s="58"/>
      <c r="G23" s="58"/>
    </row>
    <row r="24" spans="3:7" ht="18" customHeight="1">
      <c r="C24" s="24"/>
      <c r="D24" s="24"/>
      <c r="E24" s="24"/>
      <c r="F24" s="58"/>
      <c r="G24" s="58"/>
    </row>
    <row r="25" spans="6:7" ht="18" customHeight="1">
      <c r="F25" s="58"/>
      <c r="G25" s="58"/>
    </row>
    <row r="26" spans="6:7" ht="18" customHeight="1">
      <c r="F26" s="58"/>
      <c r="G26" s="58"/>
    </row>
    <row r="27" spans="6:7" ht="18" customHeight="1">
      <c r="F27" s="58"/>
      <c r="G27" s="58"/>
    </row>
    <row r="28" spans="6:7" ht="18" customHeight="1">
      <c r="F28" s="58"/>
      <c r="G28" s="58"/>
    </row>
    <row r="29" spans="6:7" ht="18" customHeight="1">
      <c r="F29" s="58"/>
      <c r="G29" s="58"/>
    </row>
    <row r="30" spans="6:7" ht="18" customHeight="1">
      <c r="F30" s="58"/>
      <c r="G30" s="58"/>
    </row>
    <row r="31" spans="6:7" ht="18" customHeight="1">
      <c r="F31" s="58"/>
      <c r="G31" s="58"/>
    </row>
    <row r="32" spans="6:7" ht="18" customHeight="1">
      <c r="F32" s="58"/>
      <c r="G32" s="58"/>
    </row>
    <row r="33" spans="6:7" ht="18" customHeight="1">
      <c r="F33" s="58"/>
      <c r="G33" s="58"/>
    </row>
    <row r="34" spans="6:7" ht="18" customHeight="1">
      <c r="F34" s="58"/>
      <c r="G34" s="58"/>
    </row>
    <row r="35" spans="6:7" ht="18" customHeight="1">
      <c r="F35" s="58"/>
      <c r="G35" s="58"/>
    </row>
    <row r="36" spans="6:7" ht="18" customHeight="1">
      <c r="F36" s="58"/>
      <c r="G36" s="58"/>
    </row>
    <row r="37" spans="6:7" ht="18" customHeight="1">
      <c r="F37" s="58"/>
      <c r="G37" s="58"/>
    </row>
    <row r="38" spans="6:7" ht="18" customHeight="1">
      <c r="F38" s="58"/>
      <c r="G38" s="58"/>
    </row>
    <row r="39" spans="6:7" ht="18" customHeight="1">
      <c r="F39" s="58"/>
      <c r="G39" s="58"/>
    </row>
    <row r="40" spans="6:7" ht="18" customHeight="1">
      <c r="F40" s="58"/>
      <c r="G40" s="58"/>
    </row>
    <row r="41" spans="6:7" ht="18" customHeight="1">
      <c r="F41" s="58"/>
      <c r="G41" s="58"/>
    </row>
    <row r="42" spans="6:7" ht="18" customHeight="1">
      <c r="F42" s="58"/>
      <c r="G42" s="58"/>
    </row>
    <row r="43" spans="6:7" ht="18" customHeight="1">
      <c r="F43" s="58"/>
      <c r="G43" s="58"/>
    </row>
    <row r="44" spans="6:7" ht="18" customHeight="1">
      <c r="F44" s="58"/>
      <c r="G44" s="58"/>
    </row>
    <row r="45" spans="6:7" ht="18" customHeight="1">
      <c r="F45" s="58"/>
      <c r="G45" s="58"/>
    </row>
    <row r="46" spans="6:7" ht="18" customHeight="1">
      <c r="F46" s="58"/>
      <c r="G46" s="58"/>
    </row>
    <row r="47" spans="6:7" ht="18" customHeight="1">
      <c r="F47" s="58"/>
      <c r="G47" s="58"/>
    </row>
    <row r="48" spans="6:7" ht="18" customHeight="1">
      <c r="F48" s="58"/>
      <c r="G48" s="58"/>
    </row>
    <row r="49" spans="6:7" ht="18" customHeight="1">
      <c r="F49" s="58"/>
      <c r="G49" s="58"/>
    </row>
    <row r="50" spans="6:7" ht="18" customHeight="1">
      <c r="F50" s="58"/>
      <c r="G50" s="58"/>
    </row>
    <row r="51" spans="6:7" ht="18" customHeight="1">
      <c r="F51" s="58"/>
      <c r="G51" s="58"/>
    </row>
    <row r="52" spans="6:7" ht="18" customHeight="1">
      <c r="F52" s="58"/>
      <c r="G52" s="58"/>
    </row>
    <row r="53" spans="6:7" ht="18" customHeight="1">
      <c r="F53" s="58"/>
      <c r="G53" s="58"/>
    </row>
    <row r="54" spans="6:7" ht="18" customHeight="1">
      <c r="F54" s="58"/>
      <c r="G54" s="58"/>
    </row>
    <row r="55" spans="6:7" ht="18" customHeight="1">
      <c r="F55" s="58"/>
      <c r="G55" s="58"/>
    </row>
    <row r="56" spans="6:7" ht="18" customHeight="1">
      <c r="F56" s="58"/>
      <c r="G56" s="58"/>
    </row>
    <row r="57" spans="6:7" ht="18" customHeight="1">
      <c r="F57" s="58"/>
      <c r="G57" s="58"/>
    </row>
    <row r="58" spans="6:7" ht="18" customHeight="1">
      <c r="F58" s="58"/>
      <c r="G58" s="58"/>
    </row>
    <row r="59" spans="6:7" ht="18" customHeight="1">
      <c r="F59" s="58"/>
      <c r="G59" s="58"/>
    </row>
    <row r="60" spans="6:7" ht="18" customHeight="1">
      <c r="F60" s="58"/>
      <c r="G60" s="58"/>
    </row>
    <row r="61" spans="6:7" ht="18" customHeight="1">
      <c r="F61" s="58"/>
      <c r="G61" s="58"/>
    </row>
    <row r="62" spans="6:7" ht="18" customHeight="1">
      <c r="F62" s="58"/>
      <c r="G62" s="58"/>
    </row>
    <row r="63" spans="6:7" ht="18" customHeight="1">
      <c r="F63" s="58"/>
      <c r="G63" s="58"/>
    </row>
    <row r="64" spans="6:7" ht="18" customHeight="1">
      <c r="F64" s="58"/>
      <c r="G64" s="58"/>
    </row>
    <row r="65" spans="6:7" ht="18" customHeight="1">
      <c r="F65" s="58"/>
      <c r="G65" s="58"/>
    </row>
    <row r="66" spans="6:7" ht="18" customHeight="1">
      <c r="F66" s="58"/>
      <c r="G66" s="58"/>
    </row>
    <row r="67" spans="6:7" ht="18" customHeight="1">
      <c r="F67" s="58"/>
      <c r="G67" s="58"/>
    </row>
    <row r="68" spans="6:7" ht="18" customHeight="1">
      <c r="F68" s="58"/>
      <c r="G68" s="58"/>
    </row>
    <row r="69" spans="6:7" ht="18" customHeight="1">
      <c r="F69" s="58"/>
      <c r="G69" s="58"/>
    </row>
    <row r="70" spans="6:7" ht="18" customHeight="1">
      <c r="F70" s="58"/>
      <c r="G70" s="58"/>
    </row>
    <row r="71" spans="6:7" ht="18" customHeight="1">
      <c r="F71" s="58"/>
      <c r="G71" s="58"/>
    </row>
    <row r="72" spans="6:7" ht="18" customHeight="1">
      <c r="F72" s="58"/>
      <c r="G72" s="58"/>
    </row>
    <row r="73" spans="6:7" ht="18" customHeight="1">
      <c r="F73" s="58"/>
      <c r="G73" s="58"/>
    </row>
    <row r="74" spans="6:7" ht="18" customHeight="1">
      <c r="F74" s="58"/>
      <c r="G74" s="58"/>
    </row>
    <row r="75" spans="6:7" ht="18" customHeight="1">
      <c r="F75" s="58"/>
      <c r="G75" s="58"/>
    </row>
    <row r="76" spans="6:7" ht="18" customHeight="1">
      <c r="F76" s="58"/>
      <c r="G76" s="58"/>
    </row>
    <row r="77" spans="6:7" ht="18" customHeight="1">
      <c r="F77" s="58"/>
      <c r="G77" s="58"/>
    </row>
    <row r="78" spans="6:7" ht="18" customHeight="1">
      <c r="F78" s="58"/>
      <c r="G78" s="58"/>
    </row>
    <row r="79" spans="6:7" ht="18" customHeight="1">
      <c r="F79" s="58"/>
      <c r="G79" s="58"/>
    </row>
    <row r="80" spans="6:7" ht="18" customHeight="1">
      <c r="F80" s="58"/>
      <c r="G80" s="58"/>
    </row>
    <row r="81" spans="6:7" ht="18" customHeight="1">
      <c r="F81" s="58"/>
      <c r="G81" s="58"/>
    </row>
    <row r="82" spans="6:7" ht="18" customHeight="1">
      <c r="F82" s="58"/>
      <c r="G82" s="58"/>
    </row>
    <row r="83" spans="6:7" ht="18" customHeight="1">
      <c r="F83" s="58"/>
      <c r="G83" s="58"/>
    </row>
    <row r="84" spans="6:7" ht="18" customHeight="1">
      <c r="F84" s="58"/>
      <c r="G84" s="58"/>
    </row>
    <row r="85" spans="6:7" ht="18" customHeight="1">
      <c r="F85" s="58"/>
      <c r="G85" s="58"/>
    </row>
    <row r="86" spans="6:7" ht="18" customHeight="1">
      <c r="F86" s="58"/>
      <c r="G86" s="58"/>
    </row>
    <row r="87" spans="6:7" ht="18" customHeight="1">
      <c r="F87" s="58"/>
      <c r="G87" s="58"/>
    </row>
    <row r="88" spans="6:7" ht="18" customHeight="1">
      <c r="F88" s="58"/>
      <c r="G88" s="58"/>
    </row>
    <row r="89" spans="6:7" ht="18" customHeight="1">
      <c r="F89" s="58"/>
      <c r="G89" s="58"/>
    </row>
    <row r="90" spans="6:7" ht="18" customHeight="1">
      <c r="F90" s="58"/>
      <c r="G90" s="58"/>
    </row>
    <row r="91" spans="6:7" ht="18" customHeight="1">
      <c r="F91" s="58"/>
      <c r="G91" s="58"/>
    </row>
    <row r="92" spans="6:7" ht="18" customHeight="1">
      <c r="F92" s="58"/>
      <c r="G92" s="58"/>
    </row>
    <row r="93" spans="6:7" ht="18" customHeight="1">
      <c r="F93" s="58"/>
      <c r="G93" s="58"/>
    </row>
    <row r="94" spans="6:7" ht="18" customHeight="1">
      <c r="F94" s="58"/>
      <c r="G94" s="58"/>
    </row>
    <row r="95" spans="6:7" ht="18" customHeight="1">
      <c r="F95" s="58"/>
      <c r="G95" s="58"/>
    </row>
    <row r="96" spans="6:7" ht="18" customHeight="1">
      <c r="F96" s="58"/>
      <c r="G96" s="58"/>
    </row>
    <row r="97" spans="6:7" ht="18" customHeight="1">
      <c r="F97" s="58"/>
      <c r="G97" s="58"/>
    </row>
    <row r="98" spans="6:7" ht="18" customHeight="1">
      <c r="F98" s="58"/>
      <c r="G98" s="58"/>
    </row>
    <row r="99" spans="6:7" ht="18" customHeight="1">
      <c r="F99" s="58"/>
      <c r="G99" s="58"/>
    </row>
    <row r="100" spans="6:7" ht="18" customHeight="1">
      <c r="F100" s="58"/>
      <c r="G100" s="58"/>
    </row>
    <row r="101" spans="6:7" ht="18" customHeight="1">
      <c r="F101" s="108"/>
      <c r="G101" s="108"/>
    </row>
    <row r="102" spans="6:7" ht="18" customHeight="1">
      <c r="F102" s="108"/>
      <c r="G102" s="108"/>
    </row>
    <row r="103" spans="6:7" ht="18" customHeight="1">
      <c r="F103" s="108"/>
      <c r="G103" s="108"/>
    </row>
    <row r="104" spans="6:7" ht="18" customHeight="1">
      <c r="F104" s="108"/>
      <c r="G104" s="108"/>
    </row>
    <row r="105" spans="6:7" ht="18" customHeight="1">
      <c r="F105" s="108"/>
      <c r="G105" s="108"/>
    </row>
    <row r="106" spans="6:7" ht="18" customHeight="1">
      <c r="F106" s="108"/>
      <c r="G106" s="108"/>
    </row>
    <row r="107" spans="6:7" ht="18" customHeight="1">
      <c r="F107" s="108"/>
      <c r="G107" s="108"/>
    </row>
    <row r="108" spans="6:7" ht="18" customHeight="1">
      <c r="F108" s="108"/>
      <c r="G108" s="108"/>
    </row>
    <row r="109" spans="6:7" ht="18" customHeight="1">
      <c r="F109" s="108"/>
      <c r="G109" s="108"/>
    </row>
    <row r="110" spans="6:7" ht="18" customHeight="1">
      <c r="F110" s="108"/>
      <c r="G110" s="108"/>
    </row>
    <row r="111" spans="6:7" ht="18" customHeight="1">
      <c r="F111" s="108"/>
      <c r="G111" s="108"/>
    </row>
    <row r="112" spans="6:7" ht="18" customHeight="1">
      <c r="F112" s="108"/>
      <c r="G112" s="108"/>
    </row>
    <row r="113" spans="6:7" ht="18" customHeight="1">
      <c r="F113" s="108"/>
      <c r="G113" s="108"/>
    </row>
    <row r="114" spans="6:7" ht="18" customHeight="1">
      <c r="F114" s="108"/>
      <c r="G114" s="108"/>
    </row>
    <row r="115" spans="6:7" ht="18" customHeight="1">
      <c r="F115" s="108"/>
      <c r="G115" s="108"/>
    </row>
    <row r="116" spans="6:7" ht="18" customHeight="1">
      <c r="F116" s="108"/>
      <c r="G116" s="108"/>
    </row>
    <row r="117" spans="6:7" ht="18" customHeight="1">
      <c r="F117" s="108"/>
      <c r="G117" s="108"/>
    </row>
    <row r="118" spans="6:7" ht="18" customHeight="1">
      <c r="F118" s="108"/>
      <c r="G118" s="108"/>
    </row>
    <row r="119" spans="6:7" ht="18" customHeight="1">
      <c r="F119" s="108"/>
      <c r="G119" s="108"/>
    </row>
    <row r="120" spans="6:7" ht="18" customHeight="1">
      <c r="F120" s="108"/>
      <c r="G120" s="108"/>
    </row>
    <row r="121" spans="6:7" ht="18" customHeight="1">
      <c r="F121" s="108"/>
      <c r="G121" s="108"/>
    </row>
    <row r="122" spans="6:7" ht="18" customHeight="1">
      <c r="F122" s="108"/>
      <c r="G122" s="108"/>
    </row>
    <row r="123" spans="6:7" ht="18" customHeight="1">
      <c r="F123" s="108"/>
      <c r="G123" s="108"/>
    </row>
    <row r="124" spans="6:7" ht="18" customHeight="1">
      <c r="F124" s="108"/>
      <c r="G124" s="108"/>
    </row>
    <row r="125" spans="6:7" ht="18" customHeight="1">
      <c r="F125" s="108"/>
      <c r="G125" s="108"/>
    </row>
    <row r="126" spans="6:7" ht="18" customHeight="1">
      <c r="F126" s="108"/>
      <c r="G126" s="108"/>
    </row>
    <row r="127" spans="6:7" ht="18" customHeight="1">
      <c r="F127" s="108"/>
      <c r="G127" s="108"/>
    </row>
    <row r="128" spans="6:7" ht="18" customHeight="1">
      <c r="F128" s="108"/>
      <c r="G128" s="108"/>
    </row>
    <row r="129" spans="6:7" ht="18" customHeight="1">
      <c r="F129" s="108"/>
      <c r="G129" s="108"/>
    </row>
    <row r="130" spans="6:7" ht="18" customHeight="1">
      <c r="F130" s="108"/>
      <c r="G130" s="108"/>
    </row>
    <row r="131" spans="6:7" ht="18" customHeight="1">
      <c r="F131" s="108"/>
      <c r="G131" s="108"/>
    </row>
    <row r="132" spans="6:7" ht="18" customHeight="1">
      <c r="F132" s="108"/>
      <c r="G132" s="108"/>
    </row>
    <row r="133" spans="6:7" ht="18" customHeight="1">
      <c r="F133" s="108"/>
      <c r="G133" s="108"/>
    </row>
    <row r="134" spans="6:7" ht="18" customHeight="1">
      <c r="F134" s="108"/>
      <c r="G134" s="108"/>
    </row>
    <row r="135" spans="6:7" ht="18" customHeight="1">
      <c r="F135" s="108"/>
      <c r="G135" s="108"/>
    </row>
    <row r="136" spans="6:7" ht="18" customHeight="1">
      <c r="F136" s="108"/>
      <c r="G136" s="108"/>
    </row>
    <row r="137" spans="6:7" ht="18" customHeight="1">
      <c r="F137" s="108"/>
      <c r="G137" s="108"/>
    </row>
    <row r="138" spans="6:7" ht="18" customHeight="1">
      <c r="F138" s="108"/>
      <c r="G138" s="108"/>
    </row>
    <row r="139" spans="6:7" ht="18" customHeight="1">
      <c r="F139" s="108"/>
      <c r="G139" s="108"/>
    </row>
    <row r="140" spans="6:7" ht="18" customHeight="1">
      <c r="F140" s="108"/>
      <c r="G140" s="108"/>
    </row>
    <row r="141" spans="6:7" ht="18" customHeight="1">
      <c r="F141" s="108"/>
      <c r="G141" s="108"/>
    </row>
    <row r="142" spans="6:7" ht="18" customHeight="1">
      <c r="F142" s="108"/>
      <c r="G142" s="108"/>
    </row>
    <row r="143" spans="6:7" ht="18" customHeight="1">
      <c r="F143" s="108"/>
      <c r="G143" s="108"/>
    </row>
    <row r="144" spans="6:7" ht="18" customHeight="1">
      <c r="F144" s="108"/>
      <c r="G144" s="108"/>
    </row>
    <row r="145" spans="6:7" ht="18" customHeight="1">
      <c r="F145" s="108"/>
      <c r="G145" s="108"/>
    </row>
    <row r="146" spans="6:7" ht="18" customHeight="1">
      <c r="F146" s="108"/>
      <c r="G146" s="108"/>
    </row>
    <row r="147" spans="6:7" ht="18" customHeight="1">
      <c r="F147" s="108"/>
      <c r="G147" s="108"/>
    </row>
    <row r="148" spans="6:7" ht="18" customHeight="1">
      <c r="F148" s="108"/>
      <c r="G148" s="108"/>
    </row>
    <row r="149" spans="6:7" ht="18" customHeight="1">
      <c r="F149" s="108"/>
      <c r="G149" s="108"/>
    </row>
    <row r="150" spans="6:7" ht="18" customHeight="1">
      <c r="F150" s="108"/>
      <c r="G150" s="108"/>
    </row>
    <row r="151" spans="6:7" ht="18" customHeight="1">
      <c r="F151" s="108"/>
      <c r="G151" s="108"/>
    </row>
    <row r="152" spans="6:7" ht="18" customHeight="1">
      <c r="F152" s="108"/>
      <c r="G152" s="108"/>
    </row>
    <row r="153" spans="6:7" ht="18" customHeight="1">
      <c r="F153" s="108"/>
      <c r="G153" s="108"/>
    </row>
    <row r="154" spans="6:7" ht="18" customHeight="1">
      <c r="F154" s="108"/>
      <c r="G154" s="108"/>
    </row>
    <row r="155" spans="6:7" ht="18" customHeight="1">
      <c r="F155" s="108"/>
      <c r="G155" s="108"/>
    </row>
    <row r="156" spans="6:7" ht="18" customHeight="1">
      <c r="F156" s="108"/>
      <c r="G156" s="108"/>
    </row>
    <row r="157" spans="6:7" ht="18" customHeight="1">
      <c r="F157" s="108"/>
      <c r="G157" s="108"/>
    </row>
    <row r="158" spans="6:7" ht="18" customHeight="1">
      <c r="F158" s="108"/>
      <c r="G158" s="108"/>
    </row>
    <row r="159" spans="6:7" ht="18" customHeight="1">
      <c r="F159" s="108"/>
      <c r="G159" s="108"/>
    </row>
    <row r="160" spans="6:7" ht="18" customHeight="1">
      <c r="F160" s="108"/>
      <c r="G160" s="108"/>
    </row>
    <row r="161" spans="6:7" ht="18" customHeight="1">
      <c r="F161" s="108"/>
      <c r="G161" s="108"/>
    </row>
    <row r="162" spans="6:7" ht="18" customHeight="1">
      <c r="F162" s="108"/>
      <c r="G162" s="108"/>
    </row>
    <row r="163" spans="6:7" ht="18" customHeight="1">
      <c r="F163" s="108"/>
      <c r="G163" s="108"/>
    </row>
    <row r="164" spans="6:7" ht="18" customHeight="1">
      <c r="F164" s="108"/>
      <c r="G164" s="108"/>
    </row>
    <row r="165" spans="6:7" ht="18" customHeight="1">
      <c r="F165" s="108"/>
      <c r="G165" s="108"/>
    </row>
    <row r="166" spans="6:7" ht="18" customHeight="1">
      <c r="F166" s="108"/>
      <c r="G166" s="108"/>
    </row>
    <row r="167" spans="6:7" ht="18" customHeight="1">
      <c r="F167" s="108"/>
      <c r="G167" s="108"/>
    </row>
    <row r="168" spans="6:7" ht="18" customHeight="1">
      <c r="F168" s="108"/>
      <c r="G168" s="108"/>
    </row>
    <row r="169" spans="6:7" ht="18" customHeight="1">
      <c r="F169" s="108"/>
      <c r="G169" s="108"/>
    </row>
    <row r="170" spans="6:7" ht="18" customHeight="1">
      <c r="F170" s="108"/>
      <c r="G170" s="108"/>
    </row>
    <row r="171" spans="6:7" ht="18" customHeight="1">
      <c r="F171" s="108"/>
      <c r="G171" s="108"/>
    </row>
    <row r="172" spans="6:7" ht="18" customHeight="1">
      <c r="F172" s="108"/>
      <c r="G172" s="108"/>
    </row>
    <row r="173" spans="6:7" ht="18" customHeight="1">
      <c r="F173" s="108"/>
      <c r="G173" s="108"/>
    </row>
    <row r="174" spans="6:7" ht="18" customHeight="1">
      <c r="F174" s="108"/>
      <c r="G174" s="108"/>
    </row>
    <row r="175" spans="6:7" ht="18" customHeight="1">
      <c r="F175" s="108"/>
      <c r="G175" s="108"/>
    </row>
    <row r="176" spans="6:7" ht="18" customHeight="1">
      <c r="F176" s="108"/>
      <c r="G176" s="108"/>
    </row>
    <row r="177" spans="6:7" ht="18" customHeight="1">
      <c r="F177" s="108"/>
      <c r="G177" s="108"/>
    </row>
    <row r="178" spans="6:7" ht="18" customHeight="1">
      <c r="F178" s="108"/>
      <c r="G178" s="108"/>
    </row>
    <row r="179" spans="6:7" ht="18" customHeight="1">
      <c r="F179" s="108"/>
      <c r="G179" s="108"/>
    </row>
    <row r="180" spans="6:7" ht="18" customHeight="1">
      <c r="F180" s="108"/>
      <c r="G180" s="108"/>
    </row>
    <row r="181" spans="6:7" ht="18" customHeight="1">
      <c r="F181" s="108"/>
      <c r="G181" s="108"/>
    </row>
    <row r="182" spans="6:7" ht="18" customHeight="1">
      <c r="F182" s="108"/>
      <c r="G182" s="108"/>
    </row>
    <row r="183" spans="6:7" ht="18" customHeight="1">
      <c r="F183" s="108"/>
      <c r="G183" s="108"/>
    </row>
    <row r="184" spans="6:7" ht="18" customHeight="1">
      <c r="F184" s="108"/>
      <c r="G184" s="108"/>
    </row>
    <row r="185" spans="6:7" ht="18" customHeight="1">
      <c r="F185" s="108"/>
      <c r="G185" s="108"/>
    </row>
    <row r="186" spans="6:7" ht="18" customHeight="1">
      <c r="F186" s="108"/>
      <c r="G186" s="108"/>
    </row>
    <row r="187" spans="6:7" ht="18" customHeight="1">
      <c r="F187" s="108"/>
      <c r="G187" s="108"/>
    </row>
    <row r="188" spans="6:7" ht="18" customHeight="1">
      <c r="F188" s="108"/>
      <c r="G188" s="108"/>
    </row>
    <row r="189" spans="6:7" ht="18" customHeight="1">
      <c r="F189" s="108"/>
      <c r="G189" s="108"/>
    </row>
    <row r="190" spans="6:7" ht="18" customHeight="1">
      <c r="F190" s="108"/>
      <c r="G190" s="108"/>
    </row>
    <row r="191" spans="6:7" ht="18" customHeight="1">
      <c r="F191" s="108"/>
      <c r="G191" s="108"/>
    </row>
    <row r="192" spans="6:7" ht="18" customHeight="1">
      <c r="F192" s="108"/>
      <c r="G192" s="108"/>
    </row>
    <row r="193" spans="6:7" ht="18" customHeight="1">
      <c r="F193" s="108"/>
      <c r="G193" s="108"/>
    </row>
    <row r="194" spans="6:7" ht="18" customHeight="1">
      <c r="F194" s="108"/>
      <c r="G194" s="108"/>
    </row>
    <row r="195" spans="6:7" ht="18" customHeight="1">
      <c r="F195" s="108"/>
      <c r="G195" s="108"/>
    </row>
    <row r="196" spans="6:7" ht="18" customHeight="1">
      <c r="F196" s="108"/>
      <c r="G196" s="108"/>
    </row>
    <row r="197" spans="6:7" ht="18" customHeight="1">
      <c r="F197" s="108"/>
      <c r="G197" s="108"/>
    </row>
    <row r="198" spans="6:7" ht="18" customHeight="1">
      <c r="F198" s="108"/>
      <c r="G198" s="108"/>
    </row>
    <row r="199" spans="6:7" ht="18" customHeight="1">
      <c r="F199" s="108"/>
      <c r="G199" s="108"/>
    </row>
    <row r="200" spans="6:7" ht="18" customHeight="1">
      <c r="F200" s="108"/>
      <c r="G200" s="108"/>
    </row>
    <row r="201" spans="6:7" ht="18" customHeight="1">
      <c r="F201" s="108"/>
      <c r="G201" s="108"/>
    </row>
    <row r="202" spans="6:7" ht="18" customHeight="1">
      <c r="F202" s="108"/>
      <c r="G202" s="108"/>
    </row>
    <row r="203" spans="6:7" ht="18" customHeight="1">
      <c r="F203" s="108"/>
      <c r="G203" s="108"/>
    </row>
    <row r="204" spans="6:7" ht="18" customHeight="1">
      <c r="F204" s="108"/>
      <c r="G204" s="108"/>
    </row>
    <row r="205" spans="6:7" ht="18" customHeight="1">
      <c r="F205" s="108"/>
      <c r="G205" s="108"/>
    </row>
    <row r="206" spans="6:7" ht="18" customHeight="1">
      <c r="F206" s="108"/>
      <c r="G206" s="108"/>
    </row>
    <row r="207" spans="6:7" ht="18" customHeight="1">
      <c r="F207" s="108"/>
      <c r="G207" s="108"/>
    </row>
    <row r="208" spans="6:7" ht="18" customHeight="1">
      <c r="F208" s="108"/>
      <c r="G208" s="108"/>
    </row>
    <row r="209" spans="6:7" ht="18" customHeight="1">
      <c r="F209" s="108"/>
      <c r="G209" s="108"/>
    </row>
    <row r="210" spans="6:7" ht="18" customHeight="1">
      <c r="F210" s="108"/>
      <c r="G210" s="108"/>
    </row>
    <row r="211" spans="6:7" ht="18" customHeight="1">
      <c r="F211" s="108"/>
      <c r="G211" s="108"/>
    </row>
    <row r="212" spans="6:7" ht="18" customHeight="1">
      <c r="F212" s="108"/>
      <c r="G212" s="108"/>
    </row>
    <row r="213" spans="6:7" ht="18" customHeight="1">
      <c r="F213" s="108"/>
      <c r="G213" s="108"/>
    </row>
    <row r="214" spans="6:7" ht="18" customHeight="1">
      <c r="F214" s="108"/>
      <c r="G214" s="108"/>
    </row>
    <row r="215" spans="6:7" ht="18" customHeight="1">
      <c r="F215" s="108"/>
      <c r="G215" s="108"/>
    </row>
    <row r="216" spans="6:7" ht="18" customHeight="1">
      <c r="F216" s="108"/>
      <c r="G216" s="108"/>
    </row>
    <row r="217" spans="6:7" ht="18" customHeight="1">
      <c r="F217" s="108"/>
      <c r="G217" s="108"/>
    </row>
    <row r="218" spans="6:7" ht="18" customHeight="1">
      <c r="F218" s="108"/>
      <c r="G218" s="108"/>
    </row>
    <row r="219" spans="6:7" ht="18" customHeight="1">
      <c r="F219" s="108"/>
      <c r="G219" s="108"/>
    </row>
    <row r="220" spans="6:7" ht="18" customHeight="1">
      <c r="F220" s="108"/>
      <c r="G220" s="108"/>
    </row>
    <row r="221" spans="6:7" ht="18" customHeight="1">
      <c r="F221" s="108"/>
      <c r="G221" s="108"/>
    </row>
    <row r="222" spans="6:7" ht="18" customHeight="1">
      <c r="F222" s="108"/>
      <c r="G222" s="108"/>
    </row>
    <row r="223" spans="6:7" ht="18" customHeight="1">
      <c r="F223" s="108"/>
      <c r="G223" s="108"/>
    </row>
    <row r="224" spans="6:7" ht="18" customHeight="1">
      <c r="F224" s="108"/>
      <c r="G224" s="108"/>
    </row>
    <row r="225" spans="6:7" ht="18" customHeight="1">
      <c r="F225" s="108"/>
      <c r="G225" s="108"/>
    </row>
    <row r="226" spans="6:7" ht="18" customHeight="1">
      <c r="F226" s="108"/>
      <c r="G226" s="108"/>
    </row>
    <row r="227" spans="6:7" ht="18" customHeight="1">
      <c r="F227" s="108"/>
      <c r="G227" s="108"/>
    </row>
    <row r="228" spans="6:7" ht="18" customHeight="1">
      <c r="F228" s="108"/>
      <c r="G228" s="108"/>
    </row>
    <row r="229" spans="6:7" ht="18" customHeight="1">
      <c r="F229" s="108"/>
      <c r="G229" s="108"/>
    </row>
    <row r="230" spans="6:7" ht="18" customHeight="1">
      <c r="F230" s="108"/>
      <c r="G230" s="108"/>
    </row>
    <row r="231" spans="6:7" ht="18" customHeight="1">
      <c r="F231" s="108"/>
      <c r="G231" s="108"/>
    </row>
    <row r="232" spans="6:7" ht="18" customHeight="1">
      <c r="F232" s="108"/>
      <c r="G232" s="108"/>
    </row>
    <row r="233" spans="6:7" ht="18" customHeight="1">
      <c r="F233" s="108"/>
      <c r="G233" s="108"/>
    </row>
    <row r="234" spans="6:7" ht="18" customHeight="1">
      <c r="F234" s="108"/>
      <c r="G234" s="108"/>
    </row>
    <row r="235" spans="6:7" ht="18" customHeight="1">
      <c r="F235" s="108"/>
      <c r="G235" s="108"/>
    </row>
    <row r="236" spans="6:7" ht="18" customHeight="1">
      <c r="F236" s="108"/>
      <c r="G236" s="108"/>
    </row>
    <row r="237" spans="6:7" ht="18" customHeight="1">
      <c r="F237" s="108"/>
      <c r="G237" s="108"/>
    </row>
    <row r="238" spans="6:7" ht="18" customHeight="1">
      <c r="F238" s="108"/>
      <c r="G238" s="108"/>
    </row>
    <row r="239" spans="6:7" ht="18" customHeight="1">
      <c r="F239" s="108"/>
      <c r="G239" s="108"/>
    </row>
    <row r="240" spans="6:7" ht="18" customHeight="1">
      <c r="F240" s="108"/>
      <c r="G240" s="108"/>
    </row>
    <row r="241" spans="6:7" ht="18" customHeight="1">
      <c r="F241" s="108"/>
      <c r="G241" s="108"/>
    </row>
    <row r="242" spans="6:7" ht="18" customHeight="1">
      <c r="F242" s="108"/>
      <c r="G242" s="108"/>
    </row>
    <row r="243" spans="6:7" ht="18" customHeight="1">
      <c r="F243" s="108"/>
      <c r="G243" s="108"/>
    </row>
    <row r="244" spans="6:7" ht="18" customHeight="1">
      <c r="F244" s="108"/>
      <c r="G244" s="108"/>
    </row>
    <row r="245" spans="6:7" ht="18" customHeight="1">
      <c r="F245" s="108"/>
      <c r="G245" s="108"/>
    </row>
    <row r="246" spans="6:7" ht="18" customHeight="1">
      <c r="F246" s="108"/>
      <c r="G246" s="108"/>
    </row>
    <row r="247" spans="6:7" ht="18" customHeight="1">
      <c r="F247" s="108"/>
      <c r="G247" s="108"/>
    </row>
    <row r="248" spans="6:7" ht="18" customHeight="1">
      <c r="F248" s="108"/>
      <c r="G248" s="108"/>
    </row>
    <row r="249" spans="6:7" ht="18" customHeight="1">
      <c r="F249" s="108"/>
      <c r="G249" s="108"/>
    </row>
    <row r="250" spans="6:7" ht="18" customHeight="1">
      <c r="F250" s="108"/>
      <c r="G250" s="108"/>
    </row>
    <row r="251" spans="6:7" ht="18" customHeight="1">
      <c r="F251" s="108"/>
      <c r="G251" s="108"/>
    </row>
    <row r="252" spans="6:7" ht="18" customHeight="1">
      <c r="F252" s="108"/>
      <c r="G252" s="108"/>
    </row>
    <row r="253" spans="6:7" ht="18" customHeight="1">
      <c r="F253" s="108"/>
      <c r="G253" s="108"/>
    </row>
    <row r="254" spans="6:7" ht="18" customHeight="1">
      <c r="F254" s="108"/>
      <c r="G254" s="108"/>
    </row>
    <row r="255" spans="6:7" ht="18" customHeight="1">
      <c r="F255" s="108"/>
      <c r="G255" s="108"/>
    </row>
    <row r="256" spans="6:7" ht="18" customHeight="1">
      <c r="F256" s="108"/>
      <c r="G256" s="108"/>
    </row>
    <row r="257" spans="6:7" ht="18" customHeight="1">
      <c r="F257" s="108"/>
      <c r="G257" s="108"/>
    </row>
    <row r="258" spans="6:7" ht="18" customHeight="1">
      <c r="F258" s="108"/>
      <c r="G258" s="108"/>
    </row>
    <row r="259" spans="6:7" ht="18" customHeight="1">
      <c r="F259" s="108"/>
      <c r="G259" s="108"/>
    </row>
    <row r="260" spans="6:7" ht="18" customHeight="1">
      <c r="F260" s="108"/>
      <c r="G260" s="108"/>
    </row>
    <row r="261" spans="6:7" ht="18" customHeight="1">
      <c r="F261" s="108"/>
      <c r="G261" s="108"/>
    </row>
    <row r="262" spans="6:7" ht="18" customHeight="1">
      <c r="F262" s="108"/>
      <c r="G262" s="108"/>
    </row>
    <row r="263" spans="6:7" ht="18" customHeight="1">
      <c r="F263" s="108"/>
      <c r="G263" s="108"/>
    </row>
    <row r="264" spans="6:7" ht="18" customHeight="1">
      <c r="F264" s="108"/>
      <c r="G264" s="108"/>
    </row>
    <row r="265" spans="6:7" ht="18" customHeight="1">
      <c r="F265" s="108"/>
      <c r="G265" s="108"/>
    </row>
    <row r="266" spans="6:7" ht="18" customHeight="1">
      <c r="F266" s="108"/>
      <c r="G266" s="108"/>
    </row>
    <row r="267" spans="6:7" ht="18" customHeight="1">
      <c r="F267" s="108"/>
      <c r="G267" s="108"/>
    </row>
    <row r="268" spans="6:7" ht="18" customHeight="1">
      <c r="F268" s="108"/>
      <c r="G268" s="108"/>
    </row>
    <row r="269" spans="6:7" ht="18" customHeight="1">
      <c r="F269" s="108"/>
      <c r="G269" s="108"/>
    </row>
    <row r="270" spans="6:7" ht="18" customHeight="1">
      <c r="F270" s="108"/>
      <c r="G270" s="108"/>
    </row>
    <row r="271" spans="6:7" ht="18" customHeight="1">
      <c r="F271" s="108"/>
      <c r="G271" s="108"/>
    </row>
    <row r="272" spans="6:7" ht="18" customHeight="1">
      <c r="F272" s="108"/>
      <c r="G272" s="108"/>
    </row>
    <row r="273" spans="6:7" ht="18" customHeight="1">
      <c r="F273" s="108"/>
      <c r="G273" s="108"/>
    </row>
    <row r="274" spans="6:7" ht="18" customHeight="1">
      <c r="F274" s="108"/>
      <c r="G274" s="108"/>
    </row>
    <row r="275" spans="6:7" ht="18" customHeight="1">
      <c r="F275" s="108"/>
      <c r="G275" s="108"/>
    </row>
    <row r="276" spans="6:7" ht="18" customHeight="1">
      <c r="F276" s="108"/>
      <c r="G276" s="108"/>
    </row>
    <row r="277" spans="6:7" ht="18" customHeight="1">
      <c r="F277" s="108"/>
      <c r="G277" s="108"/>
    </row>
    <row r="278" spans="6:7" ht="18" customHeight="1">
      <c r="F278" s="108"/>
      <c r="G278" s="108"/>
    </row>
    <row r="279" spans="6:7" ht="18" customHeight="1">
      <c r="F279" s="108"/>
      <c r="G279" s="108"/>
    </row>
    <row r="280" spans="6:7" ht="18" customHeight="1">
      <c r="F280" s="108"/>
      <c r="G280" s="108"/>
    </row>
    <row r="281" spans="6:7" ht="18" customHeight="1">
      <c r="F281" s="108"/>
      <c r="G281" s="108"/>
    </row>
    <row r="282" spans="6:7" ht="18" customHeight="1">
      <c r="F282" s="108"/>
      <c r="G282" s="108"/>
    </row>
    <row r="283" spans="6:7" ht="18" customHeight="1">
      <c r="F283" s="108"/>
      <c r="G283" s="108"/>
    </row>
    <row r="284" spans="6:7" ht="18" customHeight="1">
      <c r="F284" s="108"/>
      <c r="G284" s="108"/>
    </row>
    <row r="285" spans="6:7" ht="18" customHeight="1">
      <c r="F285" s="108"/>
      <c r="G285" s="108"/>
    </row>
    <row r="286" spans="6:7" ht="18" customHeight="1">
      <c r="F286" s="108"/>
      <c r="G286" s="108"/>
    </row>
    <row r="287" spans="6:7" ht="18" customHeight="1">
      <c r="F287" s="108"/>
      <c r="G287" s="108"/>
    </row>
    <row r="288" spans="6:7" ht="18" customHeight="1">
      <c r="F288" s="108"/>
      <c r="G288" s="108"/>
    </row>
    <row r="289" spans="6:7" ht="18" customHeight="1">
      <c r="F289" s="108"/>
      <c r="G289" s="108"/>
    </row>
    <row r="290" spans="6:7" ht="18" customHeight="1">
      <c r="F290" s="108"/>
      <c r="G290" s="108"/>
    </row>
    <row r="291" spans="6:7" ht="18" customHeight="1">
      <c r="F291" s="108"/>
      <c r="G291" s="108"/>
    </row>
    <row r="292" spans="6:7" ht="18" customHeight="1">
      <c r="F292" s="108"/>
      <c r="G292" s="108"/>
    </row>
    <row r="293" spans="6:7" ht="18" customHeight="1">
      <c r="F293" s="108"/>
      <c r="G293" s="108"/>
    </row>
    <row r="294" spans="6:7" ht="18" customHeight="1">
      <c r="F294" s="108"/>
      <c r="G294" s="108"/>
    </row>
    <row r="295" spans="6:7" ht="18" customHeight="1">
      <c r="F295" s="108"/>
      <c r="G295" s="108"/>
    </row>
    <row r="296" spans="6:7" ht="18" customHeight="1">
      <c r="F296" s="108"/>
      <c r="G296" s="108"/>
    </row>
    <row r="297" spans="6:7" ht="18" customHeight="1">
      <c r="F297" s="108"/>
      <c r="G297" s="108"/>
    </row>
    <row r="298" spans="6:7" ht="18" customHeight="1">
      <c r="F298" s="108"/>
      <c r="G298" s="108"/>
    </row>
    <row r="299" spans="6:7" ht="18" customHeight="1">
      <c r="F299" s="108"/>
      <c r="G299" s="108"/>
    </row>
    <row r="300" spans="6:7" ht="18" customHeight="1">
      <c r="F300" s="108"/>
      <c r="G300" s="108"/>
    </row>
    <row r="301" spans="6:7" ht="18" customHeight="1">
      <c r="F301" s="108"/>
      <c r="G301" s="108"/>
    </row>
    <row r="302" spans="6:7" ht="18" customHeight="1">
      <c r="F302" s="108"/>
      <c r="G302" s="108"/>
    </row>
    <row r="303" spans="6:7" ht="18" customHeight="1">
      <c r="F303" s="108"/>
      <c r="G303" s="108"/>
    </row>
    <row r="304" spans="6:7" ht="18" customHeight="1">
      <c r="F304" s="108"/>
      <c r="G304" s="108"/>
    </row>
    <row r="305" spans="6:7" ht="18" customHeight="1">
      <c r="F305" s="108"/>
      <c r="G305" s="108"/>
    </row>
    <row r="306" spans="6:7" ht="18" customHeight="1">
      <c r="F306" s="108"/>
      <c r="G306" s="108"/>
    </row>
    <row r="307" spans="6:7" ht="18" customHeight="1">
      <c r="F307" s="108"/>
      <c r="G307" s="108"/>
    </row>
    <row r="308" spans="6:7" ht="18" customHeight="1">
      <c r="F308" s="108"/>
      <c r="G308" s="108"/>
    </row>
    <row r="309" spans="6:7" ht="18" customHeight="1">
      <c r="F309" s="108"/>
      <c r="G309" s="108"/>
    </row>
    <row r="310" spans="6:7" ht="18" customHeight="1">
      <c r="F310" s="108"/>
      <c r="G310" s="108"/>
    </row>
    <row r="311" spans="6:7" ht="18" customHeight="1">
      <c r="F311" s="108"/>
      <c r="G311" s="108"/>
    </row>
    <row r="312" spans="6:7" ht="18" customHeight="1">
      <c r="F312" s="108"/>
      <c r="G312" s="108"/>
    </row>
    <row r="313" spans="6:7" ht="18" customHeight="1">
      <c r="F313" s="108"/>
      <c r="G313" s="108"/>
    </row>
    <row r="314" spans="6:7" ht="18" customHeight="1">
      <c r="F314" s="108"/>
      <c r="G314" s="108"/>
    </row>
    <row r="315" spans="6:7" ht="18" customHeight="1">
      <c r="F315" s="108"/>
      <c r="G315" s="108"/>
    </row>
    <row r="316" spans="6:7" ht="18" customHeight="1">
      <c r="F316" s="108"/>
      <c r="G316" s="108"/>
    </row>
    <row r="317" spans="6:7" ht="18" customHeight="1">
      <c r="F317" s="108"/>
      <c r="G317" s="108"/>
    </row>
    <row r="318" spans="6:7" ht="18" customHeight="1">
      <c r="F318" s="108"/>
      <c r="G318" s="108"/>
    </row>
    <row r="319" spans="6:7" ht="18" customHeight="1">
      <c r="F319" s="108"/>
      <c r="G319" s="108"/>
    </row>
    <row r="320" spans="6:7" ht="18" customHeight="1">
      <c r="F320" s="108"/>
      <c r="G320" s="108"/>
    </row>
    <row r="321" spans="6:7" ht="18" customHeight="1">
      <c r="F321" s="108"/>
      <c r="G321" s="108"/>
    </row>
    <row r="322" spans="6:7" ht="18" customHeight="1">
      <c r="F322" s="108"/>
      <c r="G322" s="108"/>
    </row>
    <row r="323" spans="6:7" ht="18" customHeight="1">
      <c r="F323" s="108"/>
      <c r="G323" s="108"/>
    </row>
    <row r="324" spans="6:7" ht="18" customHeight="1">
      <c r="F324" s="108"/>
      <c r="G324" s="108"/>
    </row>
    <row r="325" spans="6:7" ht="18" customHeight="1">
      <c r="F325" s="108"/>
      <c r="G325" s="108"/>
    </row>
    <row r="326" spans="6:7" ht="18" customHeight="1">
      <c r="F326" s="108"/>
      <c r="G326" s="108"/>
    </row>
    <row r="327" spans="6:7" ht="18" customHeight="1">
      <c r="F327" s="108"/>
      <c r="G327" s="108"/>
    </row>
    <row r="328" spans="6:7" ht="18" customHeight="1">
      <c r="F328" s="108"/>
      <c r="G328" s="108"/>
    </row>
    <row r="329" spans="6:7" ht="18" customHeight="1">
      <c r="F329" s="108"/>
      <c r="G329" s="108"/>
    </row>
    <row r="330" spans="6:7" ht="18" customHeight="1">
      <c r="F330" s="108"/>
      <c r="G330" s="108"/>
    </row>
    <row r="331" spans="6:7" ht="18" customHeight="1">
      <c r="F331" s="108"/>
      <c r="G331" s="108"/>
    </row>
    <row r="332" spans="6:7" ht="18" customHeight="1">
      <c r="F332" s="108"/>
      <c r="G332" s="108"/>
    </row>
    <row r="333" spans="6:7" ht="18" customHeight="1">
      <c r="F333" s="108"/>
      <c r="G333" s="108"/>
    </row>
    <row r="334" spans="6:7" ht="18" customHeight="1">
      <c r="F334" s="108"/>
      <c r="G334" s="108"/>
    </row>
    <row r="335" spans="6:7" ht="18" customHeight="1">
      <c r="F335" s="108"/>
      <c r="G335" s="108"/>
    </row>
    <row r="336" spans="6:7" ht="18" customHeight="1">
      <c r="F336" s="108"/>
      <c r="G336" s="108"/>
    </row>
    <row r="337" spans="6:7" ht="18" customHeight="1">
      <c r="F337" s="108"/>
      <c r="G337" s="108"/>
    </row>
    <row r="338" spans="6:7" ht="18" customHeight="1">
      <c r="F338" s="108"/>
      <c r="G338" s="108"/>
    </row>
    <row r="339" spans="6:7" ht="18" customHeight="1">
      <c r="F339" s="108"/>
      <c r="G339" s="108"/>
    </row>
    <row r="340" spans="6:7" ht="18" customHeight="1">
      <c r="F340" s="108"/>
      <c r="G340" s="108"/>
    </row>
    <row r="341" spans="6:7" ht="18" customHeight="1">
      <c r="F341" s="108"/>
      <c r="G341" s="108"/>
    </row>
    <row r="342" spans="6:7" ht="18" customHeight="1">
      <c r="F342" s="108"/>
      <c r="G342" s="108"/>
    </row>
    <row r="343" spans="6:7" ht="18" customHeight="1">
      <c r="F343" s="108"/>
      <c r="G343" s="108"/>
    </row>
    <row r="344" spans="6:7" ht="18" customHeight="1">
      <c r="F344" s="108"/>
      <c r="G344" s="108"/>
    </row>
    <row r="345" spans="6:7" ht="18" customHeight="1">
      <c r="F345" s="108"/>
      <c r="G345" s="108"/>
    </row>
    <row r="346" spans="6:7" ht="18" customHeight="1">
      <c r="F346" s="108"/>
      <c r="G346" s="108"/>
    </row>
    <row r="347" spans="6:7" ht="18" customHeight="1">
      <c r="F347" s="108"/>
      <c r="G347" s="108"/>
    </row>
    <row r="348" spans="6:7" ht="18" customHeight="1">
      <c r="F348" s="108"/>
      <c r="G348" s="108"/>
    </row>
    <row r="349" spans="6:7" ht="18" customHeight="1">
      <c r="F349" s="108"/>
      <c r="G349" s="108"/>
    </row>
    <row r="350" spans="6:7" ht="18" customHeight="1">
      <c r="F350" s="108"/>
      <c r="G350" s="108"/>
    </row>
    <row r="351" spans="6:7" ht="18" customHeight="1">
      <c r="F351" s="108"/>
      <c r="G351" s="108"/>
    </row>
    <row r="352" spans="6:7" ht="18" customHeight="1">
      <c r="F352" s="108"/>
      <c r="G352" s="108"/>
    </row>
    <row r="353" spans="6:7" ht="18" customHeight="1">
      <c r="F353" s="108"/>
      <c r="G353" s="108"/>
    </row>
    <row r="354" spans="6:7" ht="18" customHeight="1">
      <c r="F354" s="108"/>
      <c r="G354" s="108"/>
    </row>
    <row r="355" spans="6:7" ht="18" customHeight="1">
      <c r="F355" s="108"/>
      <c r="G355" s="108"/>
    </row>
    <row r="356" spans="6:7" ht="18" customHeight="1">
      <c r="F356" s="108"/>
      <c r="G356" s="108"/>
    </row>
    <row r="357" spans="6:7" ht="18" customHeight="1">
      <c r="F357" s="108"/>
      <c r="G357" s="108"/>
    </row>
    <row r="358" spans="6:7" ht="18" customHeight="1">
      <c r="F358" s="108"/>
      <c r="G358" s="108"/>
    </row>
    <row r="359" spans="6:7" ht="18" customHeight="1">
      <c r="F359" s="108"/>
      <c r="G359" s="108"/>
    </row>
    <row r="360" spans="6:7" ht="18" customHeight="1">
      <c r="F360" s="108"/>
      <c r="G360" s="108"/>
    </row>
    <row r="361" spans="6:7" ht="18" customHeight="1">
      <c r="F361" s="108"/>
      <c r="G361" s="108"/>
    </row>
    <row r="362" spans="6:7" ht="18" customHeight="1">
      <c r="F362" s="108"/>
      <c r="G362" s="108"/>
    </row>
    <row r="363" spans="6:7" ht="18" customHeight="1">
      <c r="F363" s="108"/>
      <c r="G363" s="108"/>
    </row>
    <row r="364" spans="6:7" ht="18" customHeight="1">
      <c r="F364" s="108"/>
      <c r="G364" s="108"/>
    </row>
    <row r="365" spans="6:7" ht="18" customHeight="1">
      <c r="F365" s="108"/>
      <c r="G365" s="108"/>
    </row>
    <row r="366" spans="6:7" ht="18" customHeight="1">
      <c r="F366" s="108"/>
      <c r="G366" s="108"/>
    </row>
    <row r="367" spans="6:7" ht="18" customHeight="1">
      <c r="F367" s="108"/>
      <c r="G367" s="108"/>
    </row>
    <row r="368" spans="6:7" ht="18" customHeight="1">
      <c r="F368" s="108"/>
      <c r="G368" s="108"/>
    </row>
    <row r="369" spans="6:7" ht="18" customHeight="1">
      <c r="F369" s="108"/>
      <c r="G369" s="108"/>
    </row>
    <row r="370" spans="6:7" ht="18" customHeight="1">
      <c r="F370" s="108"/>
      <c r="G370" s="108"/>
    </row>
    <row r="371" spans="6:7" ht="18" customHeight="1">
      <c r="F371" s="108"/>
      <c r="G371" s="108"/>
    </row>
    <row r="372" spans="6:7" ht="18" customHeight="1">
      <c r="F372" s="108"/>
      <c r="G372" s="108"/>
    </row>
    <row r="373" spans="6:7" ht="18" customHeight="1">
      <c r="F373" s="108"/>
      <c r="G373" s="108"/>
    </row>
    <row r="374" spans="6:7" ht="18" customHeight="1">
      <c r="F374" s="108"/>
      <c r="G374" s="108"/>
    </row>
    <row r="375" spans="6:7" ht="18" customHeight="1">
      <c r="F375" s="108"/>
      <c r="G375" s="108"/>
    </row>
    <row r="376" spans="6:7" ht="18" customHeight="1">
      <c r="F376" s="108"/>
      <c r="G376" s="108"/>
    </row>
    <row r="377" spans="6:7" ht="18" customHeight="1">
      <c r="F377" s="108"/>
      <c r="G377" s="108"/>
    </row>
    <row r="378" spans="6:7" ht="18" customHeight="1">
      <c r="F378" s="108"/>
      <c r="G378" s="108"/>
    </row>
    <row r="379" spans="6:7" ht="18" customHeight="1">
      <c r="F379" s="108"/>
      <c r="G379" s="108"/>
    </row>
    <row r="380" spans="6:7" ht="18" customHeight="1">
      <c r="F380" s="108"/>
      <c r="G380" s="108"/>
    </row>
    <row r="381" spans="6:7" ht="18" customHeight="1">
      <c r="F381" s="108"/>
      <c r="G381" s="108"/>
    </row>
    <row r="382" spans="6:7" ht="18" customHeight="1">
      <c r="F382" s="108"/>
      <c r="G382" s="108"/>
    </row>
    <row r="383" spans="6:7" ht="18" customHeight="1">
      <c r="F383" s="108"/>
      <c r="G383" s="108"/>
    </row>
    <row r="384" spans="6:7" ht="18" customHeight="1">
      <c r="F384" s="108"/>
      <c r="G384" s="108"/>
    </row>
    <row r="385" spans="6:7" ht="18" customHeight="1">
      <c r="F385" s="108"/>
      <c r="G385" s="108"/>
    </row>
    <row r="386" spans="6:7" ht="18" customHeight="1">
      <c r="F386" s="108"/>
      <c r="G386" s="108"/>
    </row>
    <row r="387" spans="6:7" ht="18" customHeight="1">
      <c r="F387" s="108"/>
      <c r="G387" s="108"/>
    </row>
    <row r="388" spans="6:7" ht="18" customHeight="1">
      <c r="F388" s="108"/>
      <c r="G388" s="108"/>
    </row>
    <row r="389" spans="6:7" ht="18" customHeight="1">
      <c r="F389" s="108"/>
      <c r="G389" s="108"/>
    </row>
    <row r="390" spans="6:7" ht="18" customHeight="1">
      <c r="F390" s="108"/>
      <c r="G390" s="108"/>
    </row>
    <row r="391" spans="6:7" ht="18" customHeight="1">
      <c r="F391" s="108"/>
      <c r="G391" s="108"/>
    </row>
    <row r="392" spans="6:7" ht="18" customHeight="1">
      <c r="F392" s="108"/>
      <c r="G392" s="108"/>
    </row>
    <row r="393" spans="6:7" ht="18" customHeight="1">
      <c r="F393" s="108"/>
      <c r="G393" s="108"/>
    </row>
    <row r="394" spans="6:7" ht="18" customHeight="1">
      <c r="F394" s="108"/>
      <c r="G394" s="108"/>
    </row>
    <row r="395" spans="6:7" ht="18" customHeight="1">
      <c r="F395" s="108"/>
      <c r="G395" s="108"/>
    </row>
    <row r="396" spans="6:7" ht="18" customHeight="1">
      <c r="F396" s="108"/>
      <c r="G396" s="108"/>
    </row>
    <row r="397" spans="6:7" ht="18" customHeight="1">
      <c r="F397" s="108"/>
      <c r="G397" s="108"/>
    </row>
    <row r="398" spans="6:7" ht="18" customHeight="1">
      <c r="F398" s="108"/>
      <c r="G398" s="108"/>
    </row>
    <row r="399" spans="6:7" ht="18" customHeight="1">
      <c r="F399" s="108"/>
      <c r="G399" s="108"/>
    </row>
    <row r="400" spans="6:7" ht="18" customHeight="1">
      <c r="F400" s="108"/>
      <c r="G400" s="108"/>
    </row>
    <row r="401" spans="6:7" ht="18" customHeight="1">
      <c r="F401" s="108"/>
      <c r="G401" s="108"/>
    </row>
    <row r="402" spans="6:7" ht="18" customHeight="1">
      <c r="F402" s="108"/>
      <c r="G402" s="108"/>
    </row>
    <row r="403" spans="6:7" ht="18" customHeight="1">
      <c r="F403" s="108"/>
      <c r="G403" s="108"/>
    </row>
    <row r="404" spans="6:7" ht="18" customHeight="1">
      <c r="F404" s="108"/>
      <c r="G404" s="108"/>
    </row>
    <row r="405" spans="6:7" ht="18" customHeight="1">
      <c r="F405" s="108"/>
      <c r="G405" s="108"/>
    </row>
    <row r="406" spans="6:7" ht="18" customHeight="1">
      <c r="F406" s="108"/>
      <c r="G406" s="108"/>
    </row>
    <row r="407" spans="6:7" ht="18" customHeight="1">
      <c r="F407" s="108"/>
      <c r="G407" s="108"/>
    </row>
    <row r="408" spans="6:7" ht="18" customHeight="1">
      <c r="F408" s="108"/>
      <c r="G408" s="108"/>
    </row>
    <row r="409" spans="6:7" ht="18" customHeight="1">
      <c r="F409" s="108"/>
      <c r="G409" s="108"/>
    </row>
    <row r="410" spans="6:7" ht="18" customHeight="1">
      <c r="F410" s="108"/>
      <c r="G410" s="108"/>
    </row>
    <row r="411" spans="6:7" ht="18" customHeight="1">
      <c r="F411" s="108"/>
      <c r="G411" s="108"/>
    </row>
    <row r="412" spans="6:7" ht="18" customHeight="1">
      <c r="F412" s="108"/>
      <c r="G412" s="108"/>
    </row>
    <row r="413" spans="6:7" ht="18" customHeight="1">
      <c r="F413" s="108"/>
      <c r="G413" s="108"/>
    </row>
    <row r="414" spans="6:7" ht="18" customHeight="1">
      <c r="F414" s="108"/>
      <c r="G414" s="108"/>
    </row>
    <row r="415" spans="6:7" ht="18" customHeight="1">
      <c r="F415" s="108"/>
      <c r="G415" s="108"/>
    </row>
    <row r="416" spans="6:7" ht="18" customHeight="1">
      <c r="F416" s="108"/>
      <c r="G416" s="108"/>
    </row>
    <row r="417" spans="6:7" ht="18" customHeight="1">
      <c r="F417" s="108"/>
      <c r="G417" s="108"/>
    </row>
    <row r="418" spans="6:7" ht="18" customHeight="1">
      <c r="F418" s="108"/>
      <c r="G418" s="108"/>
    </row>
    <row r="419" spans="6:7" ht="18" customHeight="1">
      <c r="F419" s="108"/>
      <c r="G419" s="108"/>
    </row>
    <row r="420" spans="6:7" ht="18" customHeight="1">
      <c r="F420" s="108"/>
      <c r="G420" s="108"/>
    </row>
    <row r="421" spans="6:7" ht="18" customHeight="1">
      <c r="F421" s="108"/>
      <c r="G421" s="108"/>
    </row>
    <row r="422" spans="6:7" ht="18" customHeight="1">
      <c r="F422" s="108"/>
      <c r="G422" s="108"/>
    </row>
    <row r="423" spans="6:7" ht="18" customHeight="1">
      <c r="F423" s="108"/>
      <c r="G423" s="108"/>
    </row>
    <row r="424" spans="6:7" ht="18" customHeight="1">
      <c r="F424" s="108"/>
      <c r="G424" s="108"/>
    </row>
    <row r="425" spans="6:7" ht="18" customHeight="1">
      <c r="F425" s="108"/>
      <c r="G425" s="108"/>
    </row>
    <row r="426" spans="6:7" ht="18" customHeight="1">
      <c r="F426" s="108"/>
      <c r="G426" s="108"/>
    </row>
    <row r="427" spans="6:7" ht="18" customHeight="1">
      <c r="F427" s="108"/>
      <c r="G427" s="108"/>
    </row>
    <row r="428" spans="6:7" ht="18" customHeight="1">
      <c r="F428" s="108"/>
      <c r="G428" s="108"/>
    </row>
    <row r="429" spans="6:7" ht="18" customHeight="1">
      <c r="F429" s="108"/>
      <c r="G429" s="108"/>
    </row>
    <row r="430" spans="6:7" ht="18" customHeight="1">
      <c r="F430" s="108"/>
      <c r="G430" s="108"/>
    </row>
    <row r="431" spans="6:7" ht="18" customHeight="1">
      <c r="F431" s="108"/>
      <c r="G431" s="108"/>
    </row>
    <row r="432" spans="6:7" ht="18" customHeight="1">
      <c r="F432" s="108"/>
      <c r="G432" s="108"/>
    </row>
    <row r="433" spans="6:7" ht="18" customHeight="1">
      <c r="F433" s="108"/>
      <c r="G433" s="108"/>
    </row>
    <row r="434" spans="6:7" ht="18" customHeight="1">
      <c r="F434" s="108"/>
      <c r="G434" s="108"/>
    </row>
    <row r="435" spans="6:7" ht="18" customHeight="1">
      <c r="F435" s="108"/>
      <c r="G435" s="108"/>
    </row>
    <row r="436" spans="6:7" ht="18" customHeight="1">
      <c r="F436" s="108"/>
      <c r="G436" s="108"/>
    </row>
    <row r="437" spans="6:7" ht="18" customHeight="1">
      <c r="F437" s="108"/>
      <c r="G437" s="108"/>
    </row>
    <row r="438" spans="6:7" ht="18" customHeight="1">
      <c r="F438" s="108"/>
      <c r="G438" s="108"/>
    </row>
    <row r="439" spans="6:7" ht="18" customHeight="1">
      <c r="F439" s="108"/>
      <c r="G439" s="108"/>
    </row>
    <row r="440" spans="6:7" ht="18" customHeight="1">
      <c r="F440" s="108"/>
      <c r="G440" s="108"/>
    </row>
    <row r="441" spans="6:7" ht="18" customHeight="1">
      <c r="F441" s="108"/>
      <c r="G441" s="108"/>
    </row>
    <row r="442" spans="6:7" ht="18" customHeight="1">
      <c r="F442" s="108"/>
      <c r="G442" s="108"/>
    </row>
    <row r="443" spans="6:7" ht="18" customHeight="1">
      <c r="F443" s="108"/>
      <c r="G443" s="108"/>
    </row>
    <row r="444" spans="6:7" ht="18" customHeight="1">
      <c r="F444" s="108"/>
      <c r="G444" s="108"/>
    </row>
    <row r="445" spans="6:7" ht="18" customHeight="1">
      <c r="F445" s="108"/>
      <c r="G445" s="108"/>
    </row>
    <row r="446" spans="6:7" ht="18" customHeight="1">
      <c r="F446" s="108"/>
      <c r="G446" s="108"/>
    </row>
    <row r="447" spans="6:7" ht="18" customHeight="1">
      <c r="F447" s="108"/>
      <c r="G447" s="108"/>
    </row>
    <row r="448" spans="6:7" ht="18" customHeight="1">
      <c r="F448" s="108"/>
      <c r="G448" s="108"/>
    </row>
    <row r="449" spans="6:7" ht="18" customHeight="1">
      <c r="F449" s="108"/>
      <c r="G449" s="108"/>
    </row>
    <row r="450" spans="6:7" ht="18" customHeight="1">
      <c r="F450" s="108"/>
      <c r="G450" s="108"/>
    </row>
    <row r="451" spans="6:7" ht="18" customHeight="1">
      <c r="F451" s="108"/>
      <c r="G451" s="108"/>
    </row>
    <row r="452" spans="6:7" ht="18" customHeight="1">
      <c r="F452" s="108"/>
      <c r="G452" s="108"/>
    </row>
    <row r="453" spans="6:7" ht="18" customHeight="1">
      <c r="F453" s="108"/>
      <c r="G453" s="108"/>
    </row>
    <row r="454" spans="6:7" ht="18" customHeight="1">
      <c r="F454" s="108"/>
      <c r="G454" s="108"/>
    </row>
    <row r="455" spans="6:7" ht="18" customHeight="1">
      <c r="F455" s="108"/>
      <c r="G455" s="108"/>
    </row>
    <row r="456" spans="6:7" ht="18" customHeight="1">
      <c r="F456" s="108"/>
      <c r="G456" s="108"/>
    </row>
    <row r="457" spans="6:7" ht="18" customHeight="1">
      <c r="F457" s="108"/>
      <c r="G457" s="108"/>
    </row>
    <row r="458" spans="6:7" ht="18" customHeight="1">
      <c r="F458" s="108"/>
      <c r="G458" s="108"/>
    </row>
    <row r="459" spans="6:7" ht="18" customHeight="1">
      <c r="F459" s="108"/>
      <c r="G459" s="108"/>
    </row>
    <row r="460" spans="6:7" ht="18" customHeight="1">
      <c r="F460" s="108"/>
      <c r="G460" s="108"/>
    </row>
    <row r="461" spans="6:7" ht="18" customHeight="1">
      <c r="F461" s="108"/>
      <c r="G461" s="108"/>
    </row>
    <row r="462" spans="6:7" ht="18" customHeight="1">
      <c r="F462" s="108"/>
      <c r="G462" s="108"/>
    </row>
    <row r="463" spans="6:7" ht="18" customHeight="1">
      <c r="F463" s="108"/>
      <c r="G463" s="108"/>
    </row>
    <row r="464" spans="6:7" ht="18" customHeight="1">
      <c r="F464" s="108"/>
      <c r="G464" s="108"/>
    </row>
    <row r="465" spans="6:7" ht="18" customHeight="1">
      <c r="F465" s="108"/>
      <c r="G465" s="108"/>
    </row>
    <row r="466" spans="6:7" ht="18" customHeight="1">
      <c r="F466" s="108"/>
      <c r="G466" s="108"/>
    </row>
    <row r="467" spans="6:7" ht="18" customHeight="1">
      <c r="F467" s="108"/>
      <c r="G467" s="108"/>
    </row>
    <row r="468" spans="6:7" ht="18" customHeight="1">
      <c r="F468" s="108"/>
      <c r="G468" s="108"/>
    </row>
    <row r="469" spans="6:7" ht="18" customHeight="1">
      <c r="F469" s="108"/>
      <c r="G469" s="108"/>
    </row>
    <row r="470" spans="6:7" ht="18" customHeight="1">
      <c r="F470" s="108"/>
      <c r="G470" s="108"/>
    </row>
    <row r="471" spans="6:7" ht="18" customHeight="1">
      <c r="F471" s="108"/>
      <c r="G471" s="108"/>
    </row>
    <row r="472" spans="6:7" ht="18" customHeight="1">
      <c r="F472" s="108"/>
      <c r="G472" s="108"/>
    </row>
    <row r="473" spans="6:7" ht="18" customHeight="1">
      <c r="F473" s="108"/>
      <c r="G473" s="108"/>
    </row>
    <row r="474" spans="6:7" ht="18" customHeight="1">
      <c r="F474" s="108"/>
      <c r="G474" s="108"/>
    </row>
    <row r="475" spans="6:7" ht="18" customHeight="1">
      <c r="F475" s="108"/>
      <c r="G475" s="108"/>
    </row>
    <row r="476" spans="6:7" ht="18" customHeight="1">
      <c r="F476" s="108"/>
      <c r="G476" s="108"/>
    </row>
    <row r="477" spans="6:7" ht="18" customHeight="1">
      <c r="F477" s="108"/>
      <c r="G477" s="108"/>
    </row>
    <row r="478" spans="6:7" ht="18" customHeight="1">
      <c r="F478" s="108"/>
      <c r="G478" s="108"/>
    </row>
    <row r="479" spans="6:7" ht="18" customHeight="1">
      <c r="F479" s="108"/>
      <c r="G479" s="108"/>
    </row>
    <row r="480" spans="6:7" ht="18" customHeight="1">
      <c r="F480" s="108"/>
      <c r="G480" s="108"/>
    </row>
    <row r="481" spans="6:7" ht="18" customHeight="1">
      <c r="F481" s="108"/>
      <c r="G481" s="108"/>
    </row>
    <row r="482" spans="6:7" ht="18" customHeight="1">
      <c r="F482" s="108"/>
      <c r="G482" s="108"/>
    </row>
  </sheetData>
  <printOptions/>
  <pageMargins left="0.19" right="0.17" top="1.19" bottom="0.94" header="0.41" footer="0.5511811023622047"/>
  <pageSetup firstPageNumber="13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8" customHeight="1"/>
  <cols>
    <col min="1" max="1" width="5.875" style="91" customWidth="1"/>
    <col min="2" max="2" width="41.75390625" style="23" customWidth="1"/>
    <col min="3" max="3" width="12.375" style="24" customWidth="1"/>
    <col min="4" max="4" width="14.875" style="24" customWidth="1"/>
    <col min="5" max="5" width="12.375" style="24" customWidth="1"/>
    <col min="6" max="6" width="8.00390625" style="92" customWidth="1"/>
    <col min="7" max="7" width="7.625" style="92" customWidth="1"/>
    <col min="8" max="8" width="11.125" style="22" bestFit="1" customWidth="1"/>
    <col min="9" max="16384" width="9.125" style="22" customWidth="1"/>
  </cols>
  <sheetData>
    <row r="1" spans="1:7" ht="18" customHeight="1">
      <c r="A1" s="1" t="s">
        <v>369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ht="18" customHeight="1" thickBot="1">
      <c r="A2" s="28" t="s">
        <v>225</v>
      </c>
      <c r="B2" s="29"/>
      <c r="C2" s="8">
        <v>2001</v>
      </c>
      <c r="D2" s="8" t="s">
        <v>358</v>
      </c>
      <c r="E2" s="8">
        <v>2003</v>
      </c>
      <c r="F2" s="9" t="s">
        <v>359</v>
      </c>
      <c r="G2" s="9" t="s">
        <v>360</v>
      </c>
    </row>
    <row r="3" spans="1:7" ht="18" customHeight="1">
      <c r="A3" s="93"/>
      <c r="B3" s="94"/>
      <c r="C3" s="95"/>
      <c r="D3" s="95"/>
      <c r="E3" s="95"/>
      <c r="F3" s="12" t="str">
        <f>IF(C3=0,"-",$E3/C3*100)</f>
        <v>-</v>
      </c>
      <c r="G3" s="12" t="str">
        <f>IF(D3=0,"-",$E3/D3*100)</f>
        <v>-</v>
      </c>
    </row>
    <row r="4" spans="1:7" ht="18" customHeight="1">
      <c r="A4" s="10" t="s">
        <v>103</v>
      </c>
      <c r="B4" s="16" t="s">
        <v>371</v>
      </c>
      <c r="C4" s="72">
        <v>24007150</v>
      </c>
      <c r="D4" s="72">
        <v>14000000</v>
      </c>
      <c r="E4" s="72">
        <v>15000000</v>
      </c>
      <c r="F4" s="20">
        <f>IF(C4=0,"-",$E4/C4*100)</f>
        <v>62.4813857538275</v>
      </c>
      <c r="G4" s="20">
        <f>IF(D4=0,"-",$E4/D4*100)</f>
        <v>107.14285714285714</v>
      </c>
    </row>
    <row r="5" spans="1:7" ht="18" customHeight="1">
      <c r="A5" s="10" t="s">
        <v>102</v>
      </c>
      <c r="B5" s="16" t="s">
        <v>32</v>
      </c>
      <c r="C5" s="72">
        <v>35240013</v>
      </c>
      <c r="D5" s="72">
        <v>25000000</v>
      </c>
      <c r="E5" s="72">
        <v>23000000</v>
      </c>
      <c r="F5" s="20">
        <f aca="true" t="shared" si="0" ref="F5:F36">IF(C5=0,"-",$E5/C5*100)</f>
        <v>65.26671826142629</v>
      </c>
      <c r="G5" s="20">
        <f aca="true" t="shared" si="1" ref="G5:G36">IF(D5=0,"-",$E5/D5*100)</f>
        <v>92</v>
      </c>
    </row>
    <row r="6" spans="1:7" ht="18" customHeight="1">
      <c r="A6" s="10" t="s">
        <v>101</v>
      </c>
      <c r="B6" s="16" t="s">
        <v>25</v>
      </c>
      <c r="C6" s="72">
        <v>32709675</v>
      </c>
      <c r="D6" s="72">
        <f>34800000+10704364</f>
        <v>45504364</v>
      </c>
      <c r="E6" s="72">
        <v>66000000</v>
      </c>
      <c r="F6" s="20">
        <f t="shared" si="0"/>
        <v>201.7751628531925</v>
      </c>
      <c r="G6" s="20">
        <f t="shared" si="1"/>
        <v>145.041033866554</v>
      </c>
    </row>
    <row r="7" spans="1:7" ht="18" customHeight="1">
      <c r="A7" s="10" t="s">
        <v>100</v>
      </c>
      <c r="B7" s="16" t="s">
        <v>265</v>
      </c>
      <c r="C7" s="72">
        <v>22000000</v>
      </c>
      <c r="D7" s="72">
        <v>10000000</v>
      </c>
      <c r="E7" s="72">
        <v>0</v>
      </c>
      <c r="F7" s="20">
        <f t="shared" si="0"/>
        <v>0</v>
      </c>
      <c r="G7" s="20">
        <f t="shared" si="1"/>
        <v>0</v>
      </c>
    </row>
    <row r="8" spans="1:7" ht="18" customHeight="1">
      <c r="A8" s="10" t="s">
        <v>99</v>
      </c>
      <c r="B8" s="16" t="s">
        <v>24</v>
      </c>
      <c r="C8" s="72">
        <v>5001205</v>
      </c>
      <c r="D8" s="72">
        <f>6000000+4000000</f>
        <v>10000000</v>
      </c>
      <c r="E8" s="72">
        <v>8000000</v>
      </c>
      <c r="F8" s="20">
        <f t="shared" si="0"/>
        <v>159.96144929072094</v>
      </c>
      <c r="G8" s="20">
        <f t="shared" si="1"/>
        <v>80</v>
      </c>
    </row>
    <row r="9" spans="1:7" ht="18" customHeight="1">
      <c r="A9" s="10" t="s">
        <v>98</v>
      </c>
      <c r="B9" s="16" t="s">
        <v>26</v>
      </c>
      <c r="C9" s="72">
        <v>1500000</v>
      </c>
      <c r="D9" s="72">
        <v>0</v>
      </c>
      <c r="E9" s="72">
        <v>0</v>
      </c>
      <c r="F9" s="20">
        <f t="shared" si="0"/>
        <v>0</v>
      </c>
      <c r="G9" s="20" t="str">
        <f t="shared" si="1"/>
        <v>-</v>
      </c>
    </row>
    <row r="10" spans="1:8" ht="18" customHeight="1">
      <c r="A10" s="10" t="s">
        <v>86</v>
      </c>
      <c r="B10" s="16" t="s">
        <v>372</v>
      </c>
      <c r="C10" s="72">
        <v>13931452</v>
      </c>
      <c r="D10" s="72">
        <f>15000000+15000000-10000000</f>
        <v>20000000</v>
      </c>
      <c r="E10" s="72">
        <v>15000000</v>
      </c>
      <c r="F10" s="20">
        <f t="shared" si="0"/>
        <v>107.67004042363996</v>
      </c>
      <c r="G10" s="20">
        <f t="shared" si="1"/>
        <v>75</v>
      </c>
      <c r="H10" s="30">
        <f>SUM(E10:E16)</f>
        <v>147000000</v>
      </c>
    </row>
    <row r="11" spans="1:7" ht="18" customHeight="1">
      <c r="A11" s="10" t="s">
        <v>86</v>
      </c>
      <c r="B11" s="16" t="s">
        <v>58</v>
      </c>
      <c r="C11" s="72">
        <v>217422</v>
      </c>
      <c r="D11" s="72">
        <v>1500000</v>
      </c>
      <c r="E11" s="72">
        <v>2000000</v>
      </c>
      <c r="F11" s="20">
        <f t="shared" si="0"/>
        <v>919.8701143398551</v>
      </c>
      <c r="G11" s="20">
        <f t="shared" si="1"/>
        <v>133.33333333333331</v>
      </c>
    </row>
    <row r="12" spans="1:7" ht="18" customHeight="1">
      <c r="A12" s="10" t="s">
        <v>86</v>
      </c>
      <c r="B12" s="16" t="s">
        <v>373</v>
      </c>
      <c r="C12" s="72">
        <v>44567249</v>
      </c>
      <c r="D12" s="72">
        <f>40000000-20500000+4400000</f>
        <v>23900000</v>
      </c>
      <c r="E12" s="72">
        <v>0</v>
      </c>
      <c r="F12" s="20">
        <f t="shared" si="0"/>
        <v>0</v>
      </c>
      <c r="G12" s="20">
        <f t="shared" si="1"/>
        <v>0</v>
      </c>
    </row>
    <row r="13" spans="1:7" ht="18" customHeight="1">
      <c r="A13" s="10" t="s">
        <v>86</v>
      </c>
      <c r="B13" s="16" t="s">
        <v>176</v>
      </c>
      <c r="C13" s="72">
        <v>56000000</v>
      </c>
      <c r="D13" s="72">
        <f>40000000-8000000+8000000</f>
        <v>40000000</v>
      </c>
      <c r="E13" s="72">
        <v>0</v>
      </c>
      <c r="F13" s="20">
        <f t="shared" si="0"/>
        <v>0</v>
      </c>
      <c r="G13" s="20">
        <f t="shared" si="1"/>
        <v>0</v>
      </c>
    </row>
    <row r="14" spans="1:7" ht="18" customHeight="1">
      <c r="A14" s="10" t="s">
        <v>86</v>
      </c>
      <c r="B14" s="16" t="s">
        <v>411</v>
      </c>
      <c r="C14" s="72">
        <v>0</v>
      </c>
      <c r="D14" s="72">
        <v>0</v>
      </c>
      <c r="E14" s="72">
        <v>100000000</v>
      </c>
      <c r="F14" s="20" t="str">
        <f>IF(C14=0,"-",$E14/C14*100)</f>
        <v>-</v>
      </c>
      <c r="G14" s="20" t="str">
        <f>IF(D14=0,"-",$E14/D14*100)</f>
        <v>-</v>
      </c>
    </row>
    <row r="15" spans="1:7" ht="18" customHeight="1">
      <c r="A15" s="10"/>
      <c r="B15" s="16" t="s">
        <v>412</v>
      </c>
      <c r="C15" s="72"/>
      <c r="D15" s="72"/>
      <c r="E15" s="72"/>
      <c r="F15" s="20"/>
      <c r="G15" s="20"/>
    </row>
    <row r="16" spans="1:7" ht="18" customHeight="1">
      <c r="A16" s="10" t="s">
        <v>86</v>
      </c>
      <c r="B16" s="16" t="s">
        <v>349</v>
      </c>
      <c r="C16" s="72">
        <v>0</v>
      </c>
      <c r="D16" s="72">
        <f>8000000-3000000</f>
        <v>5000000</v>
      </c>
      <c r="E16" s="72">
        <v>30000000</v>
      </c>
      <c r="F16" s="20" t="str">
        <f t="shared" si="0"/>
        <v>-</v>
      </c>
      <c r="G16" s="20">
        <f t="shared" si="1"/>
        <v>600</v>
      </c>
    </row>
    <row r="17" spans="1:7" ht="18" customHeight="1">
      <c r="A17" s="10" t="s">
        <v>97</v>
      </c>
      <c r="B17" s="16" t="s">
        <v>267</v>
      </c>
      <c r="C17" s="72">
        <v>191979080</v>
      </c>
      <c r="D17" s="72">
        <v>180000000</v>
      </c>
      <c r="E17" s="72">
        <v>195000000</v>
      </c>
      <c r="F17" s="20">
        <f t="shared" si="0"/>
        <v>101.57356728660227</v>
      </c>
      <c r="G17" s="20">
        <f t="shared" si="1"/>
        <v>108.33333333333333</v>
      </c>
    </row>
    <row r="18" spans="1:7" ht="18" customHeight="1">
      <c r="A18" s="10" t="s">
        <v>96</v>
      </c>
      <c r="B18" s="16" t="s">
        <v>23</v>
      </c>
      <c r="C18" s="72">
        <v>53656022</v>
      </c>
      <c r="D18" s="72">
        <v>60000000</v>
      </c>
      <c r="E18" s="72">
        <v>70000000</v>
      </c>
      <c r="F18" s="20">
        <f t="shared" si="0"/>
        <v>130.4606591968372</v>
      </c>
      <c r="G18" s="20">
        <f t="shared" si="1"/>
        <v>116.66666666666667</v>
      </c>
    </row>
    <row r="19" spans="1:8" ht="18" customHeight="1">
      <c r="A19" s="10" t="s">
        <v>95</v>
      </c>
      <c r="B19" s="16" t="s">
        <v>268</v>
      </c>
      <c r="C19" s="72">
        <v>44986968</v>
      </c>
      <c r="D19" s="72">
        <v>67843650</v>
      </c>
      <c r="E19" s="72">
        <v>29000000</v>
      </c>
      <c r="F19" s="20">
        <f t="shared" si="0"/>
        <v>64.46311296195823</v>
      </c>
      <c r="G19" s="20">
        <f t="shared" si="1"/>
        <v>42.7453416789928</v>
      </c>
      <c r="H19" s="30"/>
    </row>
    <row r="20" spans="1:8" ht="18" customHeight="1">
      <c r="A20" s="10" t="s">
        <v>94</v>
      </c>
      <c r="B20" s="16" t="s">
        <v>269</v>
      </c>
      <c r="C20" s="72">
        <v>28924215</v>
      </c>
      <c r="D20" s="72">
        <v>33500000</v>
      </c>
      <c r="E20" s="72">
        <v>39600000</v>
      </c>
      <c r="F20" s="20">
        <f t="shared" si="0"/>
        <v>136.9095064464152</v>
      </c>
      <c r="G20" s="20">
        <f t="shared" si="1"/>
        <v>118.2089552238806</v>
      </c>
      <c r="H20" s="30"/>
    </row>
    <row r="21" spans="1:8" ht="18" customHeight="1">
      <c r="A21" s="10" t="s">
        <v>93</v>
      </c>
      <c r="B21" s="16" t="s">
        <v>374</v>
      </c>
      <c r="C21" s="72">
        <v>399508777</v>
      </c>
      <c r="D21" s="72">
        <f>651270410+2900000+9300000</f>
        <v>663470410</v>
      </c>
      <c r="E21" s="72">
        <v>546200000</v>
      </c>
      <c r="F21" s="20">
        <f t="shared" si="0"/>
        <v>136.7178974393346</v>
      </c>
      <c r="G21" s="20">
        <f t="shared" si="1"/>
        <v>82.32469628901762</v>
      </c>
      <c r="H21" s="30"/>
    </row>
    <row r="22" spans="1:7" ht="18" customHeight="1">
      <c r="A22" s="10" t="s">
        <v>92</v>
      </c>
      <c r="B22" s="16" t="s">
        <v>270</v>
      </c>
      <c r="C22" s="72">
        <v>232164986</v>
      </c>
      <c r="D22" s="72">
        <v>152583400</v>
      </c>
      <c r="E22" s="72">
        <v>93400000</v>
      </c>
      <c r="F22" s="20">
        <f t="shared" si="0"/>
        <v>40.23001125587473</v>
      </c>
      <c r="G22" s="20">
        <f t="shared" si="1"/>
        <v>61.21242546699052</v>
      </c>
    </row>
    <row r="23" spans="1:8" ht="18" customHeight="1">
      <c r="A23" s="10" t="s">
        <v>91</v>
      </c>
      <c r="B23" s="16" t="s">
        <v>271</v>
      </c>
      <c r="C23" s="72">
        <v>20030147</v>
      </c>
      <c r="D23" s="72">
        <f>18000000-4000000</f>
        <v>14000000</v>
      </c>
      <c r="E23" s="72">
        <v>18000000</v>
      </c>
      <c r="F23" s="20">
        <f t="shared" si="0"/>
        <v>89.86454268158892</v>
      </c>
      <c r="G23" s="20">
        <f t="shared" si="1"/>
        <v>128.57142857142858</v>
      </c>
      <c r="H23" s="30">
        <f>SUM(E23:E24)</f>
        <v>48098160</v>
      </c>
    </row>
    <row r="24" spans="1:7" ht="18" customHeight="1">
      <c r="A24" s="10" t="s">
        <v>91</v>
      </c>
      <c r="B24" s="16" t="s">
        <v>413</v>
      </c>
      <c r="C24" s="72">
        <v>20609768</v>
      </c>
      <c r="D24" s="72">
        <v>29000000</v>
      </c>
      <c r="E24" s="72">
        <v>30098160</v>
      </c>
      <c r="F24" s="20">
        <f t="shared" si="0"/>
        <v>146.03832512816254</v>
      </c>
      <c r="G24" s="20">
        <f t="shared" si="1"/>
        <v>103.78675862068964</v>
      </c>
    </row>
    <row r="25" spans="1:7" ht="18" customHeight="1">
      <c r="A25" s="10" t="s">
        <v>90</v>
      </c>
      <c r="B25" s="16" t="s">
        <v>195</v>
      </c>
      <c r="C25" s="72">
        <v>59255824</v>
      </c>
      <c r="D25" s="72">
        <f>30000000+20000000+20000000</f>
        <v>70000000</v>
      </c>
      <c r="E25" s="72">
        <v>83000000</v>
      </c>
      <c r="F25" s="20">
        <f t="shared" si="0"/>
        <v>140.07061989383524</v>
      </c>
      <c r="G25" s="20">
        <f t="shared" si="1"/>
        <v>118.57142857142857</v>
      </c>
    </row>
    <row r="26" spans="1:8" ht="18" customHeight="1">
      <c r="A26" s="10" t="s">
        <v>89</v>
      </c>
      <c r="B26" s="16" t="s">
        <v>183</v>
      </c>
      <c r="C26" s="72">
        <v>99404920</v>
      </c>
      <c r="D26" s="72">
        <f>40000000+16000000</f>
        <v>56000000</v>
      </c>
      <c r="E26" s="72">
        <v>20000000</v>
      </c>
      <c r="F26" s="20">
        <f t="shared" si="0"/>
        <v>20.119728480240212</v>
      </c>
      <c r="G26" s="20">
        <f t="shared" si="1"/>
        <v>35.714285714285715</v>
      </c>
      <c r="H26" s="30">
        <f>SUM(E26:E28)</f>
        <v>135000000</v>
      </c>
    </row>
    <row r="27" spans="1:7" ht="18" customHeight="1">
      <c r="A27" s="10" t="s">
        <v>89</v>
      </c>
      <c r="B27" s="16" t="s">
        <v>375</v>
      </c>
      <c r="C27" s="72">
        <v>35665832</v>
      </c>
      <c r="D27" s="72">
        <v>4800000</v>
      </c>
      <c r="E27" s="72">
        <v>80000000</v>
      </c>
      <c r="F27" s="20">
        <f t="shared" si="0"/>
        <v>224.30431456078188</v>
      </c>
      <c r="G27" s="20">
        <f t="shared" si="1"/>
        <v>1666.6666666666667</v>
      </c>
    </row>
    <row r="28" spans="1:7" ht="18" customHeight="1">
      <c r="A28" s="10" t="s">
        <v>89</v>
      </c>
      <c r="B28" s="16" t="s">
        <v>376</v>
      </c>
      <c r="C28" s="72">
        <v>45043678</v>
      </c>
      <c r="D28" s="72">
        <v>35000000</v>
      </c>
      <c r="E28" s="72">
        <v>35000000</v>
      </c>
      <c r="F28" s="20">
        <f t="shared" si="0"/>
        <v>77.70235814224584</v>
      </c>
      <c r="G28" s="20">
        <f t="shared" si="1"/>
        <v>100</v>
      </c>
    </row>
    <row r="29" spans="1:7" ht="18" customHeight="1">
      <c r="A29" s="10" t="s">
        <v>88</v>
      </c>
      <c r="B29" s="16" t="s">
        <v>377</v>
      </c>
      <c r="C29" s="72">
        <v>54888009</v>
      </c>
      <c r="D29" s="72">
        <f>45000000+8000000</f>
        <v>53000000</v>
      </c>
      <c r="E29" s="72">
        <v>53000000</v>
      </c>
      <c r="F29" s="20">
        <f t="shared" si="0"/>
        <v>96.56025234947036</v>
      </c>
      <c r="G29" s="20">
        <f t="shared" si="1"/>
        <v>100</v>
      </c>
    </row>
    <row r="30" spans="1:7" ht="18" customHeight="1">
      <c r="A30" s="10" t="s">
        <v>87</v>
      </c>
      <c r="B30" s="16" t="s">
        <v>273</v>
      </c>
      <c r="C30" s="72">
        <v>98447486</v>
      </c>
      <c r="D30" s="72">
        <f>93232450+500000</f>
        <v>93732450</v>
      </c>
      <c r="E30" s="72">
        <v>101850000</v>
      </c>
      <c r="F30" s="20">
        <f t="shared" si="0"/>
        <v>103.45617154713327</v>
      </c>
      <c r="G30" s="20">
        <f t="shared" si="1"/>
        <v>108.66034121587562</v>
      </c>
    </row>
    <row r="31" spans="1:7" ht="18" customHeight="1">
      <c r="A31" s="10" t="s">
        <v>85</v>
      </c>
      <c r="B31" s="16" t="s">
        <v>378</v>
      </c>
      <c r="C31" s="72">
        <v>267612953</v>
      </c>
      <c r="D31" s="72">
        <f>378600000+106000000-14000000+1300000</f>
        <v>471900000</v>
      </c>
      <c r="E31" s="72">
        <v>442600000</v>
      </c>
      <c r="F31" s="20">
        <f t="shared" si="0"/>
        <v>165.38810810103053</v>
      </c>
      <c r="G31" s="20">
        <f t="shared" si="1"/>
        <v>93.79105742742107</v>
      </c>
    </row>
    <row r="32" spans="1:7" ht="18" customHeight="1">
      <c r="A32" s="10" t="s">
        <v>84</v>
      </c>
      <c r="B32" s="16" t="s">
        <v>379</v>
      </c>
      <c r="C32" s="72">
        <v>210297735</v>
      </c>
      <c r="D32" s="72">
        <v>252450000</v>
      </c>
      <c r="E32" s="72">
        <v>186300000</v>
      </c>
      <c r="F32" s="20">
        <f t="shared" si="0"/>
        <v>88.58868594091135</v>
      </c>
      <c r="G32" s="20">
        <f t="shared" si="1"/>
        <v>73.79679144385027</v>
      </c>
    </row>
    <row r="33" spans="1:7" ht="18" customHeight="1">
      <c r="A33" s="10" t="s">
        <v>83</v>
      </c>
      <c r="B33" s="16" t="s">
        <v>272</v>
      </c>
      <c r="C33" s="72">
        <v>10691766</v>
      </c>
      <c r="D33" s="72">
        <f>10000000-10000000</f>
        <v>0</v>
      </c>
      <c r="E33" s="72">
        <v>30000000</v>
      </c>
      <c r="F33" s="20">
        <f t="shared" si="0"/>
        <v>280.5897547701661</v>
      </c>
      <c r="G33" s="20" t="str">
        <f t="shared" si="1"/>
        <v>-</v>
      </c>
    </row>
    <row r="34" spans="1:7" ht="18" customHeight="1">
      <c r="A34" s="10" t="s">
        <v>82</v>
      </c>
      <c r="B34" s="16" t="s">
        <v>31</v>
      </c>
      <c r="C34" s="72">
        <v>109993801</v>
      </c>
      <c r="D34" s="72">
        <v>100000000</v>
      </c>
      <c r="E34" s="72">
        <v>122000000</v>
      </c>
      <c r="F34" s="20">
        <f t="shared" si="0"/>
        <v>110.91534149274467</v>
      </c>
      <c r="G34" s="20">
        <f t="shared" si="1"/>
        <v>122</v>
      </c>
    </row>
    <row r="35" spans="1:7" ht="18" customHeight="1">
      <c r="A35" s="10"/>
      <c r="B35" s="16"/>
      <c r="C35" s="72"/>
      <c r="D35" s="72"/>
      <c r="E35" s="72"/>
      <c r="F35" s="20"/>
      <c r="G35" s="20"/>
    </row>
    <row r="36" spans="1:7" ht="18" customHeight="1" thickBot="1">
      <c r="A36" s="73"/>
      <c r="B36" s="33" t="s">
        <v>253</v>
      </c>
      <c r="C36" s="34">
        <f>SUM(C4:C35)</f>
        <v>2218336133</v>
      </c>
      <c r="D36" s="34">
        <f>SUM(D4:D35)</f>
        <v>2532184274</v>
      </c>
      <c r="E36" s="34">
        <f>SUM(E4:E35)</f>
        <v>2434048160</v>
      </c>
      <c r="F36" s="99">
        <f t="shared" si="0"/>
        <v>109.72404604473888</v>
      </c>
      <c r="G36" s="99">
        <f t="shared" si="1"/>
        <v>96.12444816881444</v>
      </c>
    </row>
  </sheetData>
  <printOptions/>
  <pageMargins left="0.19" right="0.17" top="1.19" bottom="0.65" header="0.41" footer="0.25"/>
  <pageSetup firstPageNumber="14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8" customHeight="1"/>
  <cols>
    <col min="1" max="1" width="7.375" style="91" customWidth="1"/>
    <col min="2" max="2" width="37.625" style="23" customWidth="1"/>
    <col min="3" max="3" width="12.875" style="78" bestFit="1" customWidth="1"/>
    <col min="4" max="4" width="15.375" style="78" bestFit="1" customWidth="1"/>
    <col min="5" max="5" width="11.125" style="78" bestFit="1" customWidth="1"/>
    <col min="6" max="7" width="8.25390625" style="12" customWidth="1"/>
    <col min="8" max="16384" width="9.125" style="22" customWidth="1"/>
  </cols>
  <sheetData>
    <row r="1" spans="1:7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ht="18" customHeight="1" thickBot="1">
      <c r="A2" s="28" t="s">
        <v>225</v>
      </c>
      <c r="B2" s="29"/>
      <c r="C2" s="86">
        <v>2001</v>
      </c>
      <c r="D2" s="86" t="s">
        <v>358</v>
      </c>
      <c r="E2" s="86">
        <v>2003</v>
      </c>
      <c r="F2" s="9" t="s">
        <v>359</v>
      </c>
      <c r="G2" s="9" t="s">
        <v>360</v>
      </c>
    </row>
    <row r="3" spans="1:5" ht="18" customHeight="1">
      <c r="A3" s="93"/>
      <c r="B3" s="94"/>
      <c r="C3" s="95"/>
      <c r="D3" s="95"/>
      <c r="E3" s="95"/>
    </row>
    <row r="4" spans="1:7" ht="18" customHeight="1">
      <c r="A4" s="10" t="s">
        <v>106</v>
      </c>
      <c r="B4" s="16" t="s">
        <v>330</v>
      </c>
      <c r="C4" s="72">
        <v>29493295</v>
      </c>
      <c r="D4" s="72">
        <v>26000000</v>
      </c>
      <c r="E4" s="72">
        <v>0</v>
      </c>
      <c r="F4" s="19">
        <f aca="true" t="shared" si="0" ref="F4:G10">IF(C4=0,"-",$E4/C4*100)</f>
        <v>0</v>
      </c>
      <c r="G4" s="19">
        <f t="shared" si="0"/>
        <v>0</v>
      </c>
    </row>
    <row r="5" spans="1:7" ht="18" customHeight="1">
      <c r="A5" s="10" t="s">
        <v>106</v>
      </c>
      <c r="B5" s="16" t="s">
        <v>429</v>
      </c>
      <c r="C5" s="72">
        <v>0</v>
      </c>
      <c r="D5" s="72">
        <v>0</v>
      </c>
      <c r="E5" s="72">
        <v>50000000</v>
      </c>
      <c r="F5" s="19" t="str">
        <f t="shared" si="0"/>
        <v>-</v>
      </c>
      <c r="G5" s="19" t="str">
        <f t="shared" si="0"/>
        <v>-</v>
      </c>
    </row>
    <row r="6" spans="1:7" ht="18" customHeight="1">
      <c r="A6" s="10" t="s">
        <v>105</v>
      </c>
      <c r="B6" s="16" t="s">
        <v>331</v>
      </c>
      <c r="C6" s="72">
        <v>3084480</v>
      </c>
      <c r="D6" s="72">
        <v>20000000</v>
      </c>
      <c r="E6" s="72">
        <v>0</v>
      </c>
      <c r="F6" s="19">
        <f t="shared" si="0"/>
        <v>0</v>
      </c>
      <c r="G6" s="19">
        <f t="shared" si="0"/>
        <v>0</v>
      </c>
    </row>
    <row r="7" spans="1:7" ht="18" customHeight="1">
      <c r="A7" s="10" t="s">
        <v>105</v>
      </c>
      <c r="B7" s="16" t="s">
        <v>430</v>
      </c>
      <c r="C7" s="72">
        <v>0</v>
      </c>
      <c r="D7" s="72">
        <v>0</v>
      </c>
      <c r="E7" s="72">
        <v>70000000</v>
      </c>
      <c r="F7" s="19" t="str">
        <f t="shared" si="0"/>
        <v>-</v>
      </c>
      <c r="G7" s="19" t="str">
        <f t="shared" si="0"/>
        <v>-</v>
      </c>
    </row>
    <row r="8" spans="1:7" ht="18" customHeight="1">
      <c r="A8" s="10" t="s">
        <v>104</v>
      </c>
      <c r="B8" s="16" t="s">
        <v>22</v>
      </c>
      <c r="C8" s="72">
        <v>10244061</v>
      </c>
      <c r="D8" s="72">
        <v>12800000</v>
      </c>
      <c r="E8" s="72">
        <v>0</v>
      </c>
      <c r="F8" s="19">
        <f t="shared" si="0"/>
        <v>0</v>
      </c>
      <c r="G8" s="19">
        <f t="shared" si="0"/>
        <v>0</v>
      </c>
    </row>
    <row r="9" spans="1:7" ht="18" customHeight="1">
      <c r="A9" s="10" t="s">
        <v>104</v>
      </c>
      <c r="B9" s="16" t="s">
        <v>431</v>
      </c>
      <c r="C9" s="72">
        <v>0</v>
      </c>
      <c r="D9" s="72">
        <v>0</v>
      </c>
      <c r="E9" s="72">
        <v>10000000</v>
      </c>
      <c r="F9" s="19" t="str">
        <f t="shared" si="0"/>
        <v>-</v>
      </c>
      <c r="G9" s="19" t="str">
        <f t="shared" si="0"/>
        <v>-</v>
      </c>
    </row>
    <row r="10" spans="1:7" ht="18" customHeight="1">
      <c r="A10" s="10" t="s">
        <v>205</v>
      </c>
      <c r="B10" s="16" t="s">
        <v>332</v>
      </c>
      <c r="C10" s="72">
        <v>9521928</v>
      </c>
      <c r="D10" s="72">
        <v>5450000</v>
      </c>
      <c r="E10" s="72">
        <v>10000000</v>
      </c>
      <c r="F10" s="19">
        <f t="shared" si="0"/>
        <v>105.02074789895492</v>
      </c>
      <c r="G10" s="19">
        <f t="shared" si="0"/>
        <v>183.4862385321101</v>
      </c>
    </row>
    <row r="11" spans="1:7" ht="18" customHeight="1">
      <c r="A11" s="18"/>
      <c r="B11" s="16"/>
      <c r="C11" s="72"/>
      <c r="D11" s="72"/>
      <c r="E11" s="96"/>
      <c r="F11" s="19"/>
      <c r="G11" s="19"/>
    </row>
    <row r="12" spans="1:7" ht="18" customHeight="1" thickBot="1">
      <c r="A12" s="73"/>
      <c r="B12" s="33" t="s">
        <v>253</v>
      </c>
      <c r="C12" s="34">
        <f>SUM(C4:C11)</f>
        <v>52343764</v>
      </c>
      <c r="D12" s="34">
        <f>SUM(D4:D11)</f>
        <v>64250000</v>
      </c>
      <c r="E12" s="34">
        <f>SUM(E4:E11)</f>
        <v>140000000</v>
      </c>
      <c r="F12" s="35">
        <f>IF(C12=0,"-",$E12/C12*100)</f>
        <v>267.4626150308946</v>
      </c>
      <c r="G12" s="35">
        <f>IF(D12=0,"-",$E12/D12*100)</f>
        <v>217.8988326848249</v>
      </c>
    </row>
    <row r="13" spans="3:7" ht="18" customHeight="1">
      <c r="C13" s="97"/>
      <c r="D13" s="97"/>
      <c r="E13" s="97"/>
      <c r="F13" s="92"/>
      <c r="G13" s="92"/>
    </row>
    <row r="14" spans="3:7" ht="18" customHeight="1">
      <c r="C14" s="98"/>
      <c r="D14" s="98"/>
      <c r="E14" s="98"/>
      <c r="F14" s="92"/>
      <c r="G14" s="92"/>
    </row>
    <row r="15" spans="6:7" ht="18" customHeight="1">
      <c r="F15" s="92"/>
      <c r="G15" s="92"/>
    </row>
    <row r="16" spans="6:7" ht="18" customHeight="1">
      <c r="F16" s="92"/>
      <c r="G16" s="92"/>
    </row>
    <row r="17" spans="6:7" ht="18" customHeight="1">
      <c r="F17" s="92"/>
      <c r="G17" s="92"/>
    </row>
    <row r="18" spans="6:7" ht="18" customHeight="1">
      <c r="F18" s="92"/>
      <c r="G18" s="92"/>
    </row>
    <row r="19" spans="6:7" ht="18" customHeight="1">
      <c r="F19" s="92"/>
      <c r="G19" s="92"/>
    </row>
    <row r="20" spans="6:7" ht="18" customHeight="1">
      <c r="F20" s="92"/>
      <c r="G20" s="92"/>
    </row>
    <row r="21" spans="6:7" ht="18" customHeight="1">
      <c r="F21" s="92"/>
      <c r="G21" s="92"/>
    </row>
    <row r="22" spans="6:7" ht="18" customHeight="1">
      <c r="F22" s="92"/>
      <c r="G22" s="92"/>
    </row>
    <row r="23" spans="6:7" ht="18" customHeight="1">
      <c r="F23" s="92"/>
      <c r="G23" s="92"/>
    </row>
    <row r="24" spans="6:7" ht="18" customHeight="1">
      <c r="F24" s="92"/>
      <c r="G24" s="92"/>
    </row>
    <row r="25" spans="6:7" ht="18" customHeight="1">
      <c r="F25" s="92"/>
      <c r="G25" s="92"/>
    </row>
    <row r="26" spans="6:7" ht="18" customHeight="1">
      <c r="F26" s="92"/>
      <c r="G26" s="92"/>
    </row>
    <row r="27" spans="6:7" ht="18" customHeight="1">
      <c r="F27" s="92"/>
      <c r="G27" s="92"/>
    </row>
    <row r="28" spans="6:7" ht="18" customHeight="1">
      <c r="F28" s="92"/>
      <c r="G28" s="92"/>
    </row>
    <row r="29" spans="6:7" ht="18" customHeight="1">
      <c r="F29" s="92"/>
      <c r="G29" s="92"/>
    </row>
    <row r="30" spans="6:7" ht="18" customHeight="1">
      <c r="F30" s="92"/>
      <c r="G30" s="92"/>
    </row>
    <row r="31" spans="6:7" ht="18" customHeight="1">
      <c r="F31" s="92"/>
      <c r="G31" s="92"/>
    </row>
    <row r="32" spans="6:7" ht="18" customHeight="1">
      <c r="F32" s="92"/>
      <c r="G32" s="92"/>
    </row>
    <row r="33" spans="6:7" ht="18" customHeight="1">
      <c r="F33" s="92"/>
      <c r="G33" s="92"/>
    </row>
    <row r="34" spans="6:7" ht="18" customHeight="1">
      <c r="F34" s="92"/>
      <c r="G34" s="92"/>
    </row>
  </sheetData>
  <printOptions/>
  <pageMargins left="0.31" right="0.17" top="1.19" bottom="0.99" header="0.38" footer="0.5511811023622047"/>
  <pageSetup firstPageNumber="15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8" customHeight="1"/>
  <cols>
    <col min="1" max="1" width="7.125" style="91" customWidth="1"/>
    <col min="2" max="2" width="41.375" style="23" customWidth="1"/>
    <col min="3" max="3" width="12.875" style="78" bestFit="1" customWidth="1"/>
    <col min="4" max="4" width="14.875" style="78" customWidth="1"/>
    <col min="5" max="5" width="11.375" style="78" customWidth="1"/>
    <col min="6" max="7" width="7.625" style="92" customWidth="1"/>
    <col min="8" max="8" width="10.125" style="22" bestFit="1" customWidth="1"/>
    <col min="9" max="16384" width="9.125" style="22" customWidth="1"/>
  </cols>
  <sheetData>
    <row r="1" spans="1:7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ht="18" customHeight="1" thickBot="1">
      <c r="A2" s="28" t="s">
        <v>225</v>
      </c>
      <c r="B2" s="29"/>
      <c r="C2" s="86">
        <v>2001</v>
      </c>
      <c r="D2" s="86" t="s">
        <v>358</v>
      </c>
      <c r="E2" s="86">
        <v>2003</v>
      </c>
      <c r="F2" s="9" t="s">
        <v>359</v>
      </c>
      <c r="G2" s="9" t="s">
        <v>360</v>
      </c>
    </row>
    <row r="3" spans="1:8" ht="18" customHeight="1">
      <c r="A3" s="10" t="s">
        <v>115</v>
      </c>
      <c r="B3" s="16" t="s">
        <v>274</v>
      </c>
      <c r="C3" s="72">
        <v>5301788</v>
      </c>
      <c r="D3" s="72">
        <f>5000000-1000000</f>
        <v>4000000</v>
      </c>
      <c r="E3" s="72">
        <v>9000000</v>
      </c>
      <c r="F3" s="19">
        <f>IF(C3=0,"-",$E3/C3*100)</f>
        <v>169.7540527837024</v>
      </c>
      <c r="G3" s="19">
        <f>IF(D3=0,"-",$E3/D3*100)</f>
        <v>225</v>
      </c>
      <c r="H3" s="30">
        <f>SUM(E3:E5)</f>
        <v>31000000</v>
      </c>
    </row>
    <row r="4" spans="1:8" ht="18" customHeight="1">
      <c r="A4" s="10" t="s">
        <v>115</v>
      </c>
      <c r="B4" s="16" t="s">
        <v>380</v>
      </c>
      <c r="C4" s="72">
        <v>3673421</v>
      </c>
      <c r="D4" s="72">
        <f>5500000+500000</f>
        <v>6000000</v>
      </c>
      <c r="E4" s="72">
        <v>10000000</v>
      </c>
      <c r="F4" s="19">
        <f>IF(C4=0,"-",$E4/C4*100)</f>
        <v>272.22580804106036</v>
      </c>
      <c r="G4" s="19">
        <f>IF(D4=0,"-",$E4/D4*100)</f>
        <v>166.66666666666669</v>
      </c>
      <c r="H4" s="30"/>
    </row>
    <row r="5" spans="1:7" ht="18" customHeight="1">
      <c r="A5" s="10" t="s">
        <v>115</v>
      </c>
      <c r="B5" s="16" t="s">
        <v>277</v>
      </c>
      <c r="C5" s="72">
        <v>13042722</v>
      </c>
      <c r="D5" s="72">
        <v>10000000</v>
      </c>
      <c r="E5" s="72">
        <v>12000000</v>
      </c>
      <c r="F5" s="19">
        <f aca="true" t="shared" si="0" ref="F5:F39">IF(C5=0,"-",$E5/C5*100)</f>
        <v>92.00533446929254</v>
      </c>
      <c r="G5" s="19">
        <f aca="true" t="shared" si="1" ref="G5:G39">IF(D5=0,"-",$E5/D5*100)</f>
        <v>120</v>
      </c>
    </row>
    <row r="6" spans="1:8" ht="18" customHeight="1">
      <c r="A6" s="10" t="s">
        <v>114</v>
      </c>
      <c r="B6" s="16" t="s">
        <v>278</v>
      </c>
      <c r="C6" s="72">
        <v>29525679</v>
      </c>
      <c r="D6" s="72">
        <f>30000000+5000000-1000000</f>
        <v>34000000</v>
      </c>
      <c r="E6" s="72">
        <v>34000000</v>
      </c>
      <c r="F6" s="19">
        <f t="shared" si="0"/>
        <v>115.15399865994613</v>
      </c>
      <c r="G6" s="19">
        <f t="shared" si="1"/>
        <v>100</v>
      </c>
      <c r="H6" s="30">
        <f>SUM(E6:E9)</f>
        <v>34000000</v>
      </c>
    </row>
    <row r="7" spans="1:7" ht="18" customHeight="1">
      <c r="A7" s="10" t="s">
        <v>114</v>
      </c>
      <c r="B7" s="16" t="s">
        <v>361</v>
      </c>
      <c r="C7" s="72">
        <v>5000000</v>
      </c>
      <c r="D7" s="72">
        <v>0</v>
      </c>
      <c r="E7" s="72">
        <v>0</v>
      </c>
      <c r="F7" s="19">
        <f>IF(C7=0,"-",$E7/C7*100)</f>
        <v>0</v>
      </c>
      <c r="G7" s="19" t="str">
        <f>IF(D7=0,"-",$E7/D7*100)</f>
        <v>-</v>
      </c>
    </row>
    <row r="8" spans="1:8" ht="18" customHeight="1">
      <c r="A8" s="10" t="s">
        <v>114</v>
      </c>
      <c r="B8" s="16" t="s">
        <v>381</v>
      </c>
      <c r="C8" s="72">
        <v>0</v>
      </c>
      <c r="D8" s="72">
        <v>1000000</v>
      </c>
      <c r="E8" s="72">
        <v>0</v>
      </c>
      <c r="F8" s="19" t="str">
        <f t="shared" si="0"/>
        <v>-</v>
      </c>
      <c r="G8" s="19">
        <f t="shared" si="1"/>
        <v>0</v>
      </c>
      <c r="H8" s="30"/>
    </row>
    <row r="9" spans="1:7" ht="18" customHeight="1">
      <c r="A9" s="10" t="s">
        <v>114</v>
      </c>
      <c r="B9" s="16" t="s">
        <v>279</v>
      </c>
      <c r="C9" s="72">
        <v>5000000</v>
      </c>
      <c r="D9" s="72">
        <f>5000000-1663000</f>
        <v>3337000</v>
      </c>
      <c r="E9" s="72">
        <v>0</v>
      </c>
      <c r="F9" s="19">
        <f t="shared" si="0"/>
        <v>0</v>
      </c>
      <c r="G9" s="19">
        <f t="shared" si="1"/>
        <v>0</v>
      </c>
    </row>
    <row r="10" spans="1:7" ht="18" customHeight="1">
      <c r="A10" s="10" t="s">
        <v>113</v>
      </c>
      <c r="B10" s="16" t="s">
        <v>437</v>
      </c>
      <c r="C10" s="72">
        <v>10947500</v>
      </c>
      <c r="D10" s="72">
        <f>13500000-5500000+2663000</f>
        <v>10663000</v>
      </c>
      <c r="E10" s="72">
        <v>10000000</v>
      </c>
      <c r="F10" s="19">
        <f t="shared" si="0"/>
        <v>91.34505594884676</v>
      </c>
      <c r="G10" s="19">
        <f t="shared" si="1"/>
        <v>93.78223764419019</v>
      </c>
    </row>
    <row r="11" spans="1:7" ht="18" customHeight="1">
      <c r="A11" s="10" t="s">
        <v>112</v>
      </c>
      <c r="B11" s="16" t="s">
        <v>280</v>
      </c>
      <c r="C11" s="72">
        <v>14500000</v>
      </c>
      <c r="D11" s="72">
        <f>18000000+1000000</f>
        <v>19000000</v>
      </c>
      <c r="E11" s="72">
        <v>27000000</v>
      </c>
      <c r="F11" s="19">
        <f t="shared" si="0"/>
        <v>186.20689655172413</v>
      </c>
      <c r="G11" s="19">
        <f t="shared" si="1"/>
        <v>142.10526315789474</v>
      </c>
    </row>
    <row r="12" spans="1:7" ht="18" customHeight="1">
      <c r="A12" s="10" t="s">
        <v>111</v>
      </c>
      <c r="B12" s="16" t="s">
        <v>281</v>
      </c>
      <c r="C12" s="72">
        <v>2500000</v>
      </c>
      <c r="D12" s="72">
        <v>2700000</v>
      </c>
      <c r="E12" s="72">
        <v>2700000</v>
      </c>
      <c r="F12" s="19">
        <f t="shared" si="0"/>
        <v>108</v>
      </c>
      <c r="G12" s="19">
        <f t="shared" si="1"/>
        <v>100</v>
      </c>
    </row>
    <row r="13" spans="1:8" ht="18" customHeight="1">
      <c r="A13" s="10" t="s">
        <v>110</v>
      </c>
      <c r="B13" s="16" t="s">
        <v>340</v>
      </c>
      <c r="C13" s="72">
        <v>5991217</v>
      </c>
      <c r="D13" s="72">
        <f>14000000+2000000-2000000</f>
        <v>14000000</v>
      </c>
      <c r="E13" s="72">
        <v>12500000</v>
      </c>
      <c r="F13" s="19">
        <f t="shared" si="0"/>
        <v>208.63874568389025</v>
      </c>
      <c r="G13" s="19">
        <f t="shared" si="1"/>
        <v>89.28571428571429</v>
      </c>
      <c r="H13" s="30">
        <f>SUM(E13:E14)</f>
        <v>25000000</v>
      </c>
    </row>
    <row r="14" spans="1:7" ht="18" customHeight="1">
      <c r="A14" s="10" t="s">
        <v>110</v>
      </c>
      <c r="B14" s="16" t="s">
        <v>382</v>
      </c>
      <c r="C14" s="72">
        <v>0</v>
      </c>
      <c r="D14" s="72">
        <v>2000000</v>
      </c>
      <c r="E14" s="72">
        <v>12500000</v>
      </c>
      <c r="F14" s="19" t="str">
        <f t="shared" si="0"/>
        <v>-</v>
      </c>
      <c r="G14" s="19">
        <f t="shared" si="1"/>
        <v>625</v>
      </c>
    </row>
    <row r="15" spans="1:7" ht="18" customHeight="1">
      <c r="A15" s="10" t="s">
        <v>108</v>
      </c>
      <c r="B15" s="16" t="s">
        <v>338</v>
      </c>
      <c r="C15" s="72">
        <v>55000000</v>
      </c>
      <c r="D15" s="72">
        <v>60000000</v>
      </c>
      <c r="E15" s="72">
        <v>55000000</v>
      </c>
      <c r="F15" s="19">
        <f t="shared" si="0"/>
        <v>100</v>
      </c>
      <c r="G15" s="19">
        <f t="shared" si="1"/>
        <v>91.66666666666666</v>
      </c>
    </row>
    <row r="16" spans="1:7" ht="18" customHeight="1">
      <c r="A16" s="10" t="s">
        <v>109</v>
      </c>
      <c r="B16" s="16" t="s">
        <v>258</v>
      </c>
      <c r="C16" s="72">
        <v>0</v>
      </c>
      <c r="D16" s="72">
        <f>3000000+500000</f>
        <v>3500000</v>
      </c>
      <c r="E16" s="72">
        <v>4000000</v>
      </c>
      <c r="F16" s="19" t="str">
        <f t="shared" si="0"/>
        <v>-</v>
      </c>
      <c r="G16" s="19">
        <f t="shared" si="1"/>
        <v>114.28571428571428</v>
      </c>
    </row>
    <row r="17" spans="1:8" ht="18" customHeight="1">
      <c r="A17" s="10" t="s">
        <v>166</v>
      </c>
      <c r="B17" s="16" t="s">
        <v>323</v>
      </c>
      <c r="C17" s="72">
        <v>11346678</v>
      </c>
      <c r="D17" s="72">
        <f>16000000-3000000-500000</f>
        <v>12500000</v>
      </c>
      <c r="E17" s="72">
        <v>17000000</v>
      </c>
      <c r="F17" s="19">
        <f t="shared" si="0"/>
        <v>149.8235871327273</v>
      </c>
      <c r="G17" s="19">
        <f t="shared" si="1"/>
        <v>136</v>
      </c>
      <c r="H17" s="30">
        <f>SUM(E17:E18)</f>
        <v>17000000</v>
      </c>
    </row>
    <row r="18" spans="1:7" ht="18" customHeight="1">
      <c r="A18" s="10" t="s">
        <v>166</v>
      </c>
      <c r="B18" s="16" t="s">
        <v>228</v>
      </c>
      <c r="C18" s="72">
        <v>3475000</v>
      </c>
      <c r="D18" s="72">
        <v>3000000</v>
      </c>
      <c r="E18" s="72">
        <v>0</v>
      </c>
      <c r="F18" s="19">
        <f t="shared" si="0"/>
        <v>0</v>
      </c>
      <c r="G18" s="19">
        <f t="shared" si="1"/>
        <v>0</v>
      </c>
    </row>
    <row r="19" spans="1:7" ht="18" customHeight="1">
      <c r="A19" s="10" t="s">
        <v>167</v>
      </c>
      <c r="B19" s="16" t="s">
        <v>432</v>
      </c>
      <c r="C19" s="72">
        <v>29586102</v>
      </c>
      <c r="D19" s="72">
        <f>30000000-6500000-1000000</f>
        <v>22500000</v>
      </c>
      <c r="E19" s="72">
        <v>15000000</v>
      </c>
      <c r="F19" s="19">
        <f t="shared" si="0"/>
        <v>50.69948045200412</v>
      </c>
      <c r="G19" s="19">
        <f t="shared" si="1"/>
        <v>66.66666666666666</v>
      </c>
    </row>
    <row r="20" spans="1:7" ht="18" customHeight="1">
      <c r="A20" s="10" t="s">
        <v>168</v>
      </c>
      <c r="B20" s="16" t="s">
        <v>383</v>
      </c>
      <c r="C20" s="72">
        <v>5089800</v>
      </c>
      <c r="D20" s="72">
        <v>1500000</v>
      </c>
      <c r="E20" s="72">
        <v>0</v>
      </c>
      <c r="F20" s="19">
        <f t="shared" si="0"/>
        <v>0</v>
      </c>
      <c r="G20" s="19">
        <f t="shared" si="1"/>
        <v>0</v>
      </c>
    </row>
    <row r="21" spans="1:7" ht="18" customHeight="1">
      <c r="A21" s="10" t="s">
        <v>275</v>
      </c>
      <c r="B21" s="16" t="s">
        <v>450</v>
      </c>
      <c r="C21" s="72">
        <v>0</v>
      </c>
      <c r="D21" s="72">
        <v>50000000</v>
      </c>
      <c r="E21" s="72">
        <v>0</v>
      </c>
      <c r="F21" s="19" t="str">
        <f t="shared" si="0"/>
        <v>-</v>
      </c>
      <c r="G21" s="19">
        <f t="shared" si="1"/>
        <v>0</v>
      </c>
    </row>
    <row r="22" spans="1:8" ht="18" customHeight="1">
      <c r="A22" s="10" t="s">
        <v>169</v>
      </c>
      <c r="B22" s="16" t="s">
        <v>421</v>
      </c>
      <c r="C22" s="72">
        <v>10000000</v>
      </c>
      <c r="D22" s="72">
        <v>7000000</v>
      </c>
      <c r="E22" s="72">
        <v>12000000</v>
      </c>
      <c r="F22" s="19">
        <f t="shared" si="0"/>
        <v>120</v>
      </c>
      <c r="G22" s="19">
        <f t="shared" si="1"/>
        <v>171.42857142857142</v>
      </c>
      <c r="H22" s="30">
        <f>SUM(E22:E22)</f>
        <v>12000000</v>
      </c>
    </row>
    <row r="23" spans="1:8" ht="18" customHeight="1">
      <c r="A23" s="10" t="s">
        <v>169</v>
      </c>
      <c r="B23" s="16" t="s">
        <v>448</v>
      </c>
      <c r="C23" s="72">
        <v>0</v>
      </c>
      <c r="D23" s="72">
        <v>0</v>
      </c>
      <c r="E23" s="72">
        <v>30000000</v>
      </c>
      <c r="F23" s="19" t="str">
        <f t="shared" si="0"/>
        <v>-</v>
      </c>
      <c r="G23" s="19" t="str">
        <f t="shared" si="1"/>
        <v>-</v>
      </c>
      <c r="H23" s="30"/>
    </row>
    <row r="24" spans="1:7" ht="18" customHeight="1">
      <c r="A24" s="10" t="s">
        <v>173</v>
      </c>
      <c r="B24" s="16" t="s">
        <v>422</v>
      </c>
      <c r="C24" s="72">
        <v>3850000</v>
      </c>
      <c r="D24" s="72">
        <v>5000000</v>
      </c>
      <c r="E24" s="72">
        <v>12000000</v>
      </c>
      <c r="F24" s="19">
        <f t="shared" si="0"/>
        <v>311.6883116883117</v>
      </c>
      <c r="G24" s="19">
        <f t="shared" si="1"/>
        <v>240</v>
      </c>
    </row>
    <row r="25" spans="1:7" ht="18" customHeight="1">
      <c r="A25" s="10" t="s">
        <v>174</v>
      </c>
      <c r="B25" s="16" t="s">
        <v>282</v>
      </c>
      <c r="C25" s="72">
        <v>2310251</v>
      </c>
      <c r="D25" s="72">
        <v>3000000</v>
      </c>
      <c r="E25" s="72">
        <v>3500000</v>
      </c>
      <c r="F25" s="19">
        <f t="shared" si="0"/>
        <v>151.49868996918516</v>
      </c>
      <c r="G25" s="19">
        <f t="shared" si="1"/>
        <v>116.66666666666667</v>
      </c>
    </row>
    <row r="26" spans="1:7" ht="18" customHeight="1">
      <c r="A26" s="10" t="s">
        <v>233</v>
      </c>
      <c r="B26" s="16" t="s">
        <v>283</v>
      </c>
      <c r="C26" s="72">
        <v>986000</v>
      </c>
      <c r="D26" s="72">
        <v>0</v>
      </c>
      <c r="E26" s="72">
        <v>0</v>
      </c>
      <c r="F26" s="19">
        <f t="shared" si="0"/>
        <v>0</v>
      </c>
      <c r="G26" s="19" t="str">
        <f t="shared" si="1"/>
        <v>-</v>
      </c>
    </row>
    <row r="27" spans="1:7" ht="18" customHeight="1">
      <c r="A27" s="10" t="s">
        <v>423</v>
      </c>
      <c r="B27" s="16" t="s">
        <v>425</v>
      </c>
      <c r="C27" s="72">
        <v>0</v>
      </c>
      <c r="D27" s="72">
        <v>0</v>
      </c>
      <c r="E27" s="72">
        <v>30000000</v>
      </c>
      <c r="F27" s="19" t="str">
        <f t="shared" si="0"/>
        <v>-</v>
      </c>
      <c r="G27" s="19" t="str">
        <f t="shared" si="1"/>
        <v>-</v>
      </c>
    </row>
    <row r="28" spans="1:7" ht="18" customHeight="1">
      <c r="A28" s="10" t="s">
        <v>424</v>
      </c>
      <c r="B28" s="16" t="s">
        <v>426</v>
      </c>
      <c r="C28" s="72">
        <v>0</v>
      </c>
      <c r="D28" s="72">
        <v>0</v>
      </c>
      <c r="E28" s="72">
        <v>5000000</v>
      </c>
      <c r="F28" s="19" t="str">
        <f t="shared" si="0"/>
        <v>-</v>
      </c>
      <c r="G28" s="19" t="str">
        <f t="shared" si="1"/>
        <v>-</v>
      </c>
    </row>
    <row r="29" spans="1:7" ht="18" customHeight="1">
      <c r="A29" s="10" t="s">
        <v>438</v>
      </c>
      <c r="B29" s="16" t="s">
        <v>439</v>
      </c>
      <c r="C29" s="72">
        <v>0</v>
      </c>
      <c r="D29" s="72">
        <v>0</v>
      </c>
      <c r="E29" s="72">
        <v>5000000</v>
      </c>
      <c r="F29" s="19" t="str">
        <f t="shared" si="0"/>
        <v>-</v>
      </c>
      <c r="G29" s="19" t="str">
        <f t="shared" si="1"/>
        <v>-</v>
      </c>
    </row>
    <row r="30" spans="1:7" ht="18" customHeight="1" thickBot="1">
      <c r="A30" s="18"/>
      <c r="B30" s="87" t="s">
        <v>255</v>
      </c>
      <c r="C30" s="34">
        <f>SUM(C3:C29)</f>
        <v>217126158</v>
      </c>
      <c r="D30" s="34">
        <f>SUM(D3:D29)</f>
        <v>274700000</v>
      </c>
      <c r="E30" s="34">
        <f>SUM(E3:E29)</f>
        <v>318200000</v>
      </c>
      <c r="F30" s="35">
        <f t="shared" si="0"/>
        <v>146.55074401491507</v>
      </c>
      <c r="G30" s="35">
        <f t="shared" si="1"/>
        <v>115.83545686203132</v>
      </c>
    </row>
    <row r="31" spans="1:7" ht="18" customHeight="1">
      <c r="A31" s="88"/>
      <c r="B31" s="89" t="s">
        <v>57</v>
      </c>
      <c r="C31" s="72"/>
      <c r="D31" s="72"/>
      <c r="E31" s="72"/>
      <c r="F31" s="19"/>
      <c r="G31" s="19"/>
    </row>
    <row r="32" spans="1:7" ht="18" customHeight="1">
      <c r="A32" s="18"/>
      <c r="B32" s="11" t="s">
        <v>384</v>
      </c>
      <c r="C32" s="14">
        <f>+C33</f>
        <v>0</v>
      </c>
      <c r="D32" s="14">
        <f>+D33</f>
        <v>35000000</v>
      </c>
      <c r="E32" s="14">
        <f>+E33</f>
        <v>0</v>
      </c>
      <c r="F32" s="15" t="str">
        <f t="shared" si="0"/>
        <v>-</v>
      </c>
      <c r="G32" s="15">
        <f t="shared" si="1"/>
        <v>0</v>
      </c>
    </row>
    <row r="33" spans="1:7" ht="18" customHeight="1">
      <c r="A33" s="10" t="s">
        <v>107</v>
      </c>
      <c r="B33" s="16" t="s">
        <v>350</v>
      </c>
      <c r="C33" s="72">
        <v>0</v>
      </c>
      <c r="D33" s="72">
        <v>35000000</v>
      </c>
      <c r="E33" s="72"/>
      <c r="F33" s="19" t="str">
        <f t="shared" si="0"/>
        <v>-</v>
      </c>
      <c r="G33" s="19">
        <f t="shared" si="1"/>
        <v>0</v>
      </c>
    </row>
    <row r="34" spans="1:7" ht="18" customHeight="1">
      <c r="A34" s="10"/>
      <c r="B34" s="11" t="s">
        <v>324</v>
      </c>
      <c r="C34" s="14">
        <f>SUM(C35:C37)</f>
        <v>189953802</v>
      </c>
      <c r="D34" s="14">
        <f>SUM(D35:D37)</f>
        <v>0</v>
      </c>
      <c r="E34" s="14">
        <f>SUM(E35:E37)</f>
        <v>0</v>
      </c>
      <c r="F34" s="19">
        <f t="shared" si="0"/>
        <v>0</v>
      </c>
      <c r="G34" s="19" t="str">
        <f t="shared" si="1"/>
        <v>-</v>
      </c>
    </row>
    <row r="35" spans="1:7" ht="18" customHeight="1">
      <c r="A35" s="10" t="s">
        <v>107</v>
      </c>
      <c r="B35" s="16" t="s">
        <v>158</v>
      </c>
      <c r="C35" s="72">
        <v>150165000</v>
      </c>
      <c r="D35" s="72">
        <v>0</v>
      </c>
      <c r="E35" s="72"/>
      <c r="F35" s="19">
        <f t="shared" si="0"/>
        <v>0</v>
      </c>
      <c r="G35" s="19" t="str">
        <f t="shared" si="1"/>
        <v>-</v>
      </c>
    </row>
    <row r="36" spans="1:7" ht="18" customHeight="1">
      <c r="A36" s="10"/>
      <c r="B36" s="16" t="s">
        <v>234</v>
      </c>
      <c r="C36" s="72">
        <v>19788802</v>
      </c>
      <c r="D36" s="72">
        <v>0</v>
      </c>
      <c r="E36" s="72"/>
      <c r="F36" s="19">
        <f t="shared" si="0"/>
        <v>0</v>
      </c>
      <c r="G36" s="19" t="str">
        <f t="shared" si="1"/>
        <v>-</v>
      </c>
    </row>
    <row r="37" spans="1:7" ht="18" customHeight="1">
      <c r="A37" s="10"/>
      <c r="B37" s="16" t="s">
        <v>362</v>
      </c>
      <c r="C37" s="72">
        <v>20000000</v>
      </c>
      <c r="D37" s="72"/>
      <c r="E37" s="72"/>
      <c r="F37" s="19">
        <f>IF(C37=0,"-",$E37/C37*100)</f>
        <v>0</v>
      </c>
      <c r="G37" s="19" t="str">
        <f>IF(D37=0,"-",$E37/D37*100)</f>
        <v>-</v>
      </c>
    </row>
    <row r="38" spans="1:7" ht="18" customHeight="1" thickBot="1">
      <c r="A38" s="73"/>
      <c r="B38" s="33" t="s">
        <v>255</v>
      </c>
      <c r="C38" s="34">
        <f>+C32+C34</f>
        <v>189953802</v>
      </c>
      <c r="D38" s="34">
        <f>+D32+D34</f>
        <v>35000000</v>
      </c>
      <c r="E38" s="34">
        <f>+E32+E34</f>
        <v>0</v>
      </c>
      <c r="F38" s="35">
        <f t="shared" si="0"/>
        <v>0</v>
      </c>
      <c r="G38" s="35">
        <f t="shared" si="1"/>
        <v>0</v>
      </c>
    </row>
    <row r="39" spans="1:7" ht="18" customHeight="1" thickBot="1">
      <c r="A39" s="74"/>
      <c r="B39" s="33" t="s">
        <v>253</v>
      </c>
      <c r="C39" s="75">
        <f>+C30+C38</f>
        <v>407079960</v>
      </c>
      <c r="D39" s="75">
        <f>+D30+D38</f>
        <v>309700000</v>
      </c>
      <c r="E39" s="75">
        <f>+E30+E38</f>
        <v>318200000</v>
      </c>
      <c r="F39" s="90">
        <f t="shared" si="0"/>
        <v>78.16646144899887</v>
      </c>
      <c r="G39" s="90">
        <f t="shared" si="1"/>
        <v>102.74459154020019</v>
      </c>
    </row>
    <row r="40" ht="13.5" customHeight="1"/>
  </sheetData>
  <printOptions/>
  <pageMargins left="0.19" right="0.17" top="0.98" bottom="0.58" header="0.38" footer="0.32"/>
  <pageSetup firstPageNumber="16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00390625" defaultRowHeight="18" customHeight="1"/>
  <cols>
    <col min="1" max="1" width="7.125" style="21" customWidth="1"/>
    <col min="2" max="2" width="41.75390625" style="23" customWidth="1"/>
    <col min="3" max="3" width="12.625" style="25" customWidth="1"/>
    <col min="4" max="4" width="13.75390625" style="25" customWidth="1"/>
    <col min="5" max="5" width="12.75390625" style="25" bestFit="1" customWidth="1"/>
    <col min="6" max="6" width="7.625" style="25" customWidth="1"/>
    <col min="7" max="7" width="7.25390625" style="25" customWidth="1"/>
    <col min="8" max="8" width="11.125" style="22" bestFit="1" customWidth="1"/>
    <col min="9" max="16384" width="11.00390625" style="22" customWidth="1"/>
  </cols>
  <sheetData>
    <row r="1" spans="1:7" s="82" customFormat="1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8" s="82" customFormat="1" ht="18" customHeight="1" thickBot="1">
      <c r="A2" s="28" t="s">
        <v>225</v>
      </c>
      <c r="B2" s="29" t="s">
        <v>30</v>
      </c>
      <c r="C2" s="32">
        <v>2001</v>
      </c>
      <c r="D2" s="83" t="s">
        <v>358</v>
      </c>
      <c r="E2" s="32">
        <v>2003</v>
      </c>
      <c r="F2" s="9" t="s">
        <v>359</v>
      </c>
      <c r="G2" s="9" t="s">
        <v>360</v>
      </c>
      <c r="H2" s="84"/>
    </row>
    <row r="3" spans="1:7" ht="18" customHeight="1">
      <c r="A3" s="85" t="s">
        <v>140</v>
      </c>
      <c r="B3" s="39" t="s">
        <v>36</v>
      </c>
      <c r="C3" s="40">
        <v>1472450</v>
      </c>
      <c r="D3" s="40">
        <v>2600000</v>
      </c>
      <c r="E3" s="40">
        <v>2733000</v>
      </c>
      <c r="F3" s="19">
        <f>IF(C3=0,"-",$E3/C3*100)</f>
        <v>185.60901898196883</v>
      </c>
      <c r="G3" s="19">
        <f>IF(D3=0,"-",$E3/D3*100)</f>
        <v>105.11538461538461</v>
      </c>
    </row>
    <row r="4" spans="1:7" ht="18" customHeight="1">
      <c r="A4" s="31" t="s">
        <v>139</v>
      </c>
      <c r="B4" s="39" t="s">
        <v>186</v>
      </c>
      <c r="C4" s="40">
        <v>52000000</v>
      </c>
      <c r="D4" s="40">
        <f>55000000+3000000</f>
        <v>58000000</v>
      </c>
      <c r="E4" s="40">
        <v>70000000</v>
      </c>
      <c r="F4" s="19">
        <f>IF(C4=0,"-",$E4/C4*100)</f>
        <v>134.6153846153846</v>
      </c>
      <c r="G4" s="19">
        <f>IF(D4=0,"-",$E4/D4*100)</f>
        <v>120.6896551724138</v>
      </c>
    </row>
    <row r="5" spans="1:7" ht="18" customHeight="1">
      <c r="A5" s="48" t="s">
        <v>138</v>
      </c>
      <c r="B5" s="39" t="s">
        <v>187</v>
      </c>
      <c r="C5" s="40">
        <v>7040569</v>
      </c>
      <c r="D5" s="40">
        <v>7500000</v>
      </c>
      <c r="E5" s="40">
        <v>7882000</v>
      </c>
      <c r="F5" s="19">
        <f aca="true" t="shared" si="0" ref="F5:F27">IF(C5=0,"-",$E5/C5*100)</f>
        <v>111.95117894590622</v>
      </c>
      <c r="G5" s="19">
        <f aca="true" t="shared" si="1" ref="G5:G27">IF(D5=0,"-",$E5/D5*100)</f>
        <v>105.09333333333333</v>
      </c>
    </row>
    <row r="6" spans="1:7" ht="18" customHeight="1">
      <c r="A6" s="31" t="s">
        <v>227</v>
      </c>
      <c r="B6" s="39" t="s">
        <v>249</v>
      </c>
      <c r="C6" s="40">
        <v>3925301</v>
      </c>
      <c r="D6" s="40">
        <v>3903000</v>
      </c>
      <c r="E6" s="40">
        <v>4073600</v>
      </c>
      <c r="F6" s="19">
        <f t="shared" si="0"/>
        <v>103.7780287422544</v>
      </c>
      <c r="G6" s="19">
        <f t="shared" si="1"/>
        <v>104.3709966692288</v>
      </c>
    </row>
    <row r="7" spans="1:7" ht="18" customHeight="1">
      <c r="A7" s="31" t="s">
        <v>137</v>
      </c>
      <c r="B7" s="39" t="s">
        <v>385</v>
      </c>
      <c r="C7" s="40">
        <v>7619600</v>
      </c>
      <c r="D7" s="40">
        <v>6231000</v>
      </c>
      <c r="E7" s="40">
        <v>6549000</v>
      </c>
      <c r="F7" s="19">
        <f t="shared" si="0"/>
        <v>85.94939366895899</v>
      </c>
      <c r="G7" s="19">
        <f t="shared" si="1"/>
        <v>105.10351468464133</v>
      </c>
    </row>
    <row r="8" spans="1:8" ht="18" customHeight="1">
      <c r="A8" s="31" t="s">
        <v>135</v>
      </c>
      <c r="B8" s="16" t="s">
        <v>319</v>
      </c>
      <c r="C8" s="40">
        <v>15000000</v>
      </c>
      <c r="D8" s="40">
        <f>15000000-5000000-3000000</f>
        <v>7000000</v>
      </c>
      <c r="E8" s="40">
        <v>9960000</v>
      </c>
      <c r="F8" s="19">
        <f t="shared" si="0"/>
        <v>66.4</v>
      </c>
      <c r="G8" s="19">
        <f t="shared" si="1"/>
        <v>142.28571428571428</v>
      </c>
      <c r="H8" s="30">
        <f>SUM(E8:E10)</f>
        <v>74260000</v>
      </c>
    </row>
    <row r="9" spans="1:7" ht="18" customHeight="1">
      <c r="A9" s="31" t="s">
        <v>135</v>
      </c>
      <c r="B9" s="16" t="s">
        <v>188</v>
      </c>
      <c r="C9" s="40">
        <v>38000000</v>
      </c>
      <c r="D9" s="40">
        <f>5000000+3000000</f>
        <v>8000000</v>
      </c>
      <c r="E9" s="40">
        <v>5800000</v>
      </c>
      <c r="F9" s="19">
        <f t="shared" si="0"/>
        <v>15.263157894736842</v>
      </c>
      <c r="G9" s="19">
        <f t="shared" si="1"/>
        <v>72.5</v>
      </c>
    </row>
    <row r="10" spans="1:7" ht="18" customHeight="1">
      <c r="A10" s="31" t="s">
        <v>135</v>
      </c>
      <c r="B10" s="16" t="s">
        <v>433</v>
      </c>
      <c r="C10" s="40">
        <v>0</v>
      </c>
      <c r="D10" s="40">
        <v>11000000</v>
      </c>
      <c r="E10" s="40">
        <v>58500000</v>
      </c>
      <c r="F10" s="19" t="str">
        <f t="shared" si="0"/>
        <v>-</v>
      </c>
      <c r="G10" s="19">
        <f t="shared" si="1"/>
        <v>531.8181818181819</v>
      </c>
    </row>
    <row r="11" spans="1:8" ht="18" customHeight="1">
      <c r="A11" s="31" t="s">
        <v>134</v>
      </c>
      <c r="B11" s="39" t="s">
        <v>284</v>
      </c>
      <c r="C11" s="40">
        <v>74662105</v>
      </c>
      <c r="D11" s="40">
        <v>85241780</v>
      </c>
      <c r="E11" s="40">
        <v>90687750</v>
      </c>
      <c r="F11" s="19">
        <f t="shared" si="0"/>
        <v>121.46422874093892</v>
      </c>
      <c r="G11" s="19">
        <f t="shared" si="1"/>
        <v>106.38885063169727</v>
      </c>
      <c r="H11" s="30">
        <f>SUM(E11:E13)</f>
        <v>151990000</v>
      </c>
    </row>
    <row r="12" spans="1:9" ht="18" customHeight="1">
      <c r="A12" s="31" t="s">
        <v>134</v>
      </c>
      <c r="B12" s="39" t="s">
        <v>285</v>
      </c>
      <c r="C12" s="40">
        <v>9234235</v>
      </c>
      <c r="D12" s="40">
        <v>10302140</v>
      </c>
      <c r="E12" s="40">
        <v>11459360</v>
      </c>
      <c r="F12" s="19">
        <f t="shared" si="0"/>
        <v>124.09647361151195</v>
      </c>
      <c r="G12" s="19">
        <f t="shared" si="1"/>
        <v>111.23281182356286</v>
      </c>
      <c r="H12" s="30"/>
      <c r="I12" s="30"/>
    </row>
    <row r="13" spans="1:7" ht="18" customHeight="1">
      <c r="A13" s="31" t="s">
        <v>134</v>
      </c>
      <c r="B13" s="39" t="s">
        <v>286</v>
      </c>
      <c r="C13" s="40">
        <v>45393974</v>
      </c>
      <c r="D13" s="47">
        <f>44189180+3000000</f>
        <v>47189180</v>
      </c>
      <c r="E13" s="40">
        <f>46692890+3150000</f>
        <v>49842890</v>
      </c>
      <c r="F13" s="19">
        <f t="shared" si="0"/>
        <v>109.8006753054932</v>
      </c>
      <c r="G13" s="19">
        <f t="shared" si="1"/>
        <v>105.62355607789753</v>
      </c>
    </row>
    <row r="14" spans="1:7" ht="18" customHeight="1">
      <c r="A14" s="48" t="s">
        <v>133</v>
      </c>
      <c r="B14" s="16" t="s">
        <v>250</v>
      </c>
      <c r="C14" s="40">
        <v>105757000</v>
      </c>
      <c r="D14" s="40">
        <f>103257000-10000000+15000000+12435246</f>
        <v>120692246</v>
      </c>
      <c r="E14" s="40">
        <v>127008780</v>
      </c>
      <c r="F14" s="19">
        <f t="shared" si="0"/>
        <v>120.09491570297948</v>
      </c>
      <c r="G14" s="19">
        <f t="shared" si="1"/>
        <v>105.23358725133014</v>
      </c>
    </row>
    <row r="15" spans="1:7" ht="18" customHeight="1">
      <c r="A15" s="48" t="s">
        <v>132</v>
      </c>
      <c r="B15" s="39" t="s">
        <v>160</v>
      </c>
      <c r="C15" s="40">
        <v>7000000</v>
      </c>
      <c r="D15" s="40">
        <v>0</v>
      </c>
      <c r="E15" s="40">
        <v>0</v>
      </c>
      <c r="F15" s="19">
        <f t="shared" si="0"/>
        <v>0</v>
      </c>
      <c r="G15" s="19" t="str">
        <f t="shared" si="1"/>
        <v>-</v>
      </c>
    </row>
    <row r="16" spans="1:7" ht="18" customHeight="1">
      <c r="A16" s="48" t="s">
        <v>132</v>
      </c>
      <c r="B16" s="39" t="s">
        <v>276</v>
      </c>
      <c r="C16" s="40">
        <v>6595000</v>
      </c>
      <c r="D16" s="40">
        <f>7500000-1500000+1000000</f>
        <v>7000000</v>
      </c>
      <c r="E16" s="40">
        <v>7360000</v>
      </c>
      <c r="F16" s="19">
        <f t="shared" si="0"/>
        <v>111.59969673995451</v>
      </c>
      <c r="G16" s="19">
        <f t="shared" si="1"/>
        <v>105.14285714285714</v>
      </c>
    </row>
    <row r="17" spans="1:7" ht="18" customHeight="1">
      <c r="A17" s="48" t="s">
        <v>131</v>
      </c>
      <c r="B17" s="39" t="s">
        <v>251</v>
      </c>
      <c r="C17" s="40">
        <v>5700000</v>
      </c>
      <c r="D17" s="40">
        <v>6100000</v>
      </c>
      <c r="E17" s="40">
        <v>8000000</v>
      </c>
      <c r="F17" s="19">
        <f t="shared" si="0"/>
        <v>140.35087719298244</v>
      </c>
      <c r="G17" s="19">
        <f t="shared" si="1"/>
        <v>131.14754098360655</v>
      </c>
    </row>
    <row r="18" spans="1:7" ht="18" customHeight="1">
      <c r="A18" s="31" t="s">
        <v>136</v>
      </c>
      <c r="B18" s="39" t="s">
        <v>252</v>
      </c>
      <c r="C18" s="40">
        <v>4000000</v>
      </c>
      <c r="D18" s="40">
        <f>4300000-4300000</f>
        <v>0</v>
      </c>
      <c r="E18" s="40">
        <v>0</v>
      </c>
      <c r="F18" s="19">
        <f t="shared" si="0"/>
        <v>0</v>
      </c>
      <c r="G18" s="19" t="str">
        <f t="shared" si="1"/>
        <v>-</v>
      </c>
    </row>
    <row r="19" spans="1:7" ht="18" customHeight="1">
      <c r="A19" s="48" t="s">
        <v>130</v>
      </c>
      <c r="B19" s="39" t="s">
        <v>386</v>
      </c>
      <c r="C19" s="40">
        <v>30000000</v>
      </c>
      <c r="D19" s="40">
        <v>0</v>
      </c>
      <c r="E19" s="40">
        <v>0</v>
      </c>
      <c r="F19" s="19">
        <f t="shared" si="0"/>
        <v>0</v>
      </c>
      <c r="G19" s="19" t="str">
        <f t="shared" si="1"/>
        <v>-</v>
      </c>
    </row>
    <row r="20" spans="1:8" ht="18" customHeight="1">
      <c r="A20" s="48" t="s">
        <v>130</v>
      </c>
      <c r="B20" s="39" t="s">
        <v>387</v>
      </c>
      <c r="C20" s="40">
        <v>33500000</v>
      </c>
      <c r="D20" s="40">
        <f>200000000-63000000-55000000-3500000-1500000-55000000</f>
        <v>22000000</v>
      </c>
      <c r="E20" s="40">
        <v>100000000</v>
      </c>
      <c r="F20" s="19">
        <f t="shared" si="0"/>
        <v>298.5074626865672</v>
      </c>
      <c r="G20" s="19">
        <f t="shared" si="1"/>
        <v>454.54545454545456</v>
      </c>
      <c r="H20" s="30">
        <f>SUM(E19:E23)</f>
        <v>135255000</v>
      </c>
    </row>
    <row r="21" spans="1:7" ht="18" customHeight="1">
      <c r="A21" s="48" t="s">
        <v>130</v>
      </c>
      <c r="B21" s="39" t="s">
        <v>287</v>
      </c>
      <c r="C21" s="40">
        <v>9999754</v>
      </c>
      <c r="D21" s="40">
        <v>10000000</v>
      </c>
      <c r="E21" s="40">
        <v>30000000</v>
      </c>
      <c r="F21" s="19">
        <f t="shared" si="0"/>
        <v>300.00738018155243</v>
      </c>
      <c r="G21" s="19">
        <f t="shared" si="1"/>
        <v>300</v>
      </c>
    </row>
    <row r="22" spans="1:7" ht="18" customHeight="1">
      <c r="A22" s="48" t="s">
        <v>130</v>
      </c>
      <c r="B22" s="39" t="s">
        <v>398</v>
      </c>
      <c r="C22" s="40">
        <v>60000000</v>
      </c>
      <c r="D22" s="40">
        <f>3000000+2000000</f>
        <v>5000000</v>
      </c>
      <c r="E22" s="40">
        <v>0</v>
      </c>
      <c r="F22" s="19">
        <f t="shared" si="0"/>
        <v>0</v>
      </c>
      <c r="G22" s="19">
        <f t="shared" si="1"/>
        <v>0</v>
      </c>
    </row>
    <row r="23" spans="1:7" ht="18" customHeight="1">
      <c r="A23" s="48" t="s">
        <v>130</v>
      </c>
      <c r="B23" s="16" t="s">
        <v>288</v>
      </c>
      <c r="C23" s="40">
        <v>4700000</v>
      </c>
      <c r="D23" s="40">
        <v>5000000</v>
      </c>
      <c r="E23" s="40">
        <v>5255000</v>
      </c>
      <c r="F23" s="19">
        <f t="shared" si="0"/>
        <v>111.80851063829786</v>
      </c>
      <c r="G23" s="19">
        <f t="shared" si="1"/>
        <v>105.1</v>
      </c>
    </row>
    <row r="24" spans="1:7" ht="18" customHeight="1">
      <c r="A24" s="48" t="s">
        <v>190</v>
      </c>
      <c r="B24" s="16" t="s">
        <v>189</v>
      </c>
      <c r="C24" s="40">
        <v>3945162</v>
      </c>
      <c r="D24" s="40">
        <f>4900000+1000000</f>
        <v>5900000</v>
      </c>
      <c r="E24" s="40">
        <v>6700000</v>
      </c>
      <c r="F24" s="19">
        <f t="shared" si="0"/>
        <v>169.82826053784356</v>
      </c>
      <c r="G24" s="19">
        <f t="shared" si="1"/>
        <v>113.55932203389831</v>
      </c>
    </row>
    <row r="25" spans="1:7" ht="18" customHeight="1">
      <c r="A25" s="48" t="s">
        <v>417</v>
      </c>
      <c r="B25" s="16" t="s">
        <v>418</v>
      </c>
      <c r="C25" s="40">
        <v>0</v>
      </c>
      <c r="D25" s="40">
        <v>0</v>
      </c>
      <c r="E25" s="40">
        <v>1000000</v>
      </c>
      <c r="F25" s="19" t="str">
        <f>IF(C25=0,"-",$E25/C25*100)</f>
        <v>-</v>
      </c>
      <c r="G25" s="19" t="str">
        <f>IF(D25=0,"-",$E25/D25*100)</f>
        <v>-</v>
      </c>
    </row>
    <row r="26" spans="1:7" ht="18" customHeight="1">
      <c r="A26" s="48"/>
      <c r="B26" s="16"/>
      <c r="C26" s="40"/>
      <c r="D26" s="40"/>
      <c r="E26" s="40"/>
      <c r="F26" s="19"/>
      <c r="G26" s="19"/>
    </row>
    <row r="27" spans="1:7" ht="18" customHeight="1" thickBot="1">
      <c r="A27" s="5"/>
      <c r="B27" s="33" t="s">
        <v>255</v>
      </c>
      <c r="C27" s="41">
        <f>SUM(C3:C26)</f>
        <v>525545150</v>
      </c>
      <c r="D27" s="41">
        <f>SUM(D3:D26)</f>
        <v>428659346</v>
      </c>
      <c r="E27" s="41">
        <f>SUM(E3:E26)</f>
        <v>602811380</v>
      </c>
      <c r="F27" s="35">
        <f t="shared" si="0"/>
        <v>114.70211075109343</v>
      </c>
      <c r="G27" s="35">
        <f t="shared" si="1"/>
        <v>140.6271403213497</v>
      </c>
    </row>
    <row r="28" spans="3:7" ht="18" customHeight="1">
      <c r="C28" s="80"/>
      <c r="D28" s="80"/>
      <c r="E28" s="80"/>
      <c r="F28" s="80"/>
      <c r="G28" s="80"/>
    </row>
    <row r="29" spans="3:7" ht="18" customHeight="1">
      <c r="C29" s="80"/>
      <c r="D29" s="80"/>
      <c r="E29" s="80"/>
      <c r="F29" s="80"/>
      <c r="G29" s="80"/>
    </row>
    <row r="30" spans="3:7" ht="18" customHeight="1">
      <c r="C30" s="80"/>
      <c r="D30" s="80"/>
      <c r="E30" s="80"/>
      <c r="F30" s="80"/>
      <c r="G30" s="80"/>
    </row>
    <row r="31" spans="3:7" ht="18" customHeight="1">
      <c r="C31" s="80"/>
      <c r="D31" s="80"/>
      <c r="E31" s="80"/>
      <c r="F31" s="80"/>
      <c r="G31" s="80"/>
    </row>
    <row r="32" spans="3:7" ht="18" customHeight="1">
      <c r="C32" s="80"/>
      <c r="D32" s="80"/>
      <c r="E32" s="80"/>
      <c r="F32" s="80"/>
      <c r="G32" s="80"/>
    </row>
    <row r="33" spans="3:7" ht="18" customHeight="1">
      <c r="C33" s="80"/>
      <c r="D33" s="80"/>
      <c r="E33" s="80"/>
      <c r="F33" s="80"/>
      <c r="G33" s="80"/>
    </row>
    <row r="34" spans="2:7" ht="18" customHeight="1">
      <c r="B34" s="26"/>
      <c r="C34" s="81"/>
      <c r="D34" s="81"/>
      <c r="E34" s="81"/>
      <c r="F34" s="81"/>
      <c r="G34" s="81"/>
    </row>
    <row r="35" spans="2:7" ht="18" customHeight="1">
      <c r="B35" s="26"/>
      <c r="C35" s="81"/>
      <c r="D35" s="81"/>
      <c r="E35" s="81"/>
      <c r="F35" s="81"/>
      <c r="G35" s="81"/>
    </row>
    <row r="37" ht="18" customHeight="1">
      <c r="B37" s="26"/>
    </row>
    <row r="38" ht="18" customHeight="1">
      <c r="B38" s="26"/>
    </row>
  </sheetData>
  <printOptions/>
  <pageMargins left="0.19" right="0.17" top="1.17" bottom="0.51" header="0.38" footer="0.27"/>
  <pageSetup firstPageNumber="17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00390625" defaultRowHeight="18" customHeight="1"/>
  <cols>
    <col min="1" max="1" width="7.375" style="21" customWidth="1"/>
    <col min="2" max="2" width="35.25390625" style="23" customWidth="1"/>
    <col min="3" max="3" width="13.25390625" style="25" customWidth="1"/>
    <col min="4" max="4" width="15.75390625" style="25" customWidth="1"/>
    <col min="5" max="5" width="12.75390625" style="25" customWidth="1"/>
    <col min="6" max="7" width="8.25390625" style="25" customWidth="1"/>
    <col min="8" max="8" width="11.125" style="22" bestFit="1" customWidth="1"/>
    <col min="9" max="16384" width="11.00390625" style="22" customWidth="1"/>
  </cols>
  <sheetData>
    <row r="1" spans="1:7" s="43" customFormat="1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s="43" customFormat="1" ht="18" customHeight="1" thickBot="1">
      <c r="A2" s="28" t="s">
        <v>225</v>
      </c>
      <c r="B2" s="29" t="s">
        <v>30</v>
      </c>
      <c r="C2" s="32">
        <v>2001</v>
      </c>
      <c r="D2" s="32" t="s">
        <v>358</v>
      </c>
      <c r="E2" s="32">
        <v>2003</v>
      </c>
      <c r="F2" s="9" t="s">
        <v>359</v>
      </c>
      <c r="G2" s="9" t="s">
        <v>360</v>
      </c>
    </row>
    <row r="3" spans="1:7" ht="18" customHeight="1">
      <c r="A3" s="48" t="s">
        <v>141</v>
      </c>
      <c r="B3" s="39" t="s">
        <v>36</v>
      </c>
      <c r="C3" s="69">
        <v>3099100</v>
      </c>
      <c r="D3" s="69">
        <v>3300000</v>
      </c>
      <c r="E3" s="69">
        <v>3000000</v>
      </c>
      <c r="F3" s="19">
        <f>IF(C3=0,"-",$E3/C3*100)</f>
        <v>96.80229744119261</v>
      </c>
      <c r="G3" s="19">
        <f>IF(D3=0,"-",$E3/D3*100)</f>
        <v>90.9090909090909</v>
      </c>
    </row>
    <row r="4" spans="1:8" ht="18" customHeight="1">
      <c r="A4" s="76" t="s">
        <v>142</v>
      </c>
      <c r="B4" s="39" t="s">
        <v>248</v>
      </c>
      <c r="C4" s="69">
        <v>37243743</v>
      </c>
      <c r="D4" s="69">
        <v>44000000</v>
      </c>
      <c r="E4" s="69">
        <v>46500000</v>
      </c>
      <c r="F4" s="19">
        <f>IF(C4=0,"-",$E4/C4*100)</f>
        <v>124.85318674871104</v>
      </c>
      <c r="G4" s="19">
        <f>IF(D4=0,"-",$E4/D4*100)</f>
        <v>105.68181818181819</v>
      </c>
      <c r="H4" s="30">
        <f>SUM(E4:E8)</f>
        <v>551012040</v>
      </c>
    </row>
    <row r="5" spans="1:7" ht="18" customHeight="1">
      <c r="A5" s="76" t="s">
        <v>142</v>
      </c>
      <c r="B5" s="39" t="s">
        <v>43</v>
      </c>
      <c r="C5" s="69">
        <v>303417962</v>
      </c>
      <c r="D5" s="69">
        <v>356212100</v>
      </c>
      <c r="E5" s="69">
        <v>336640935</v>
      </c>
      <c r="F5" s="19">
        <f aca="true" t="shared" si="0" ref="F5:F16">IF(C5=0,"-",$E5/C5*100)</f>
        <v>110.94957357864001</v>
      </c>
      <c r="G5" s="19">
        <f aca="true" t="shared" si="1" ref="G5:G16">IF(D5=0,"-",$E5/D5*100)</f>
        <v>94.50575513858176</v>
      </c>
    </row>
    <row r="6" spans="1:8" ht="18" customHeight="1">
      <c r="A6" s="76" t="s">
        <v>142</v>
      </c>
      <c r="B6" s="39" t="s">
        <v>44</v>
      </c>
      <c r="C6" s="69">
        <v>39527104</v>
      </c>
      <c r="D6" s="69">
        <v>47511170</v>
      </c>
      <c r="E6" s="69">
        <v>44585685</v>
      </c>
      <c r="F6" s="19">
        <f t="shared" si="0"/>
        <v>112.79775265094048</v>
      </c>
      <c r="G6" s="19">
        <f t="shared" si="1"/>
        <v>93.84253218769398</v>
      </c>
      <c r="H6" s="30"/>
    </row>
    <row r="7" spans="1:7" ht="18" customHeight="1">
      <c r="A7" s="76" t="s">
        <v>142</v>
      </c>
      <c r="B7" s="39" t="s">
        <v>231</v>
      </c>
      <c r="C7" s="70">
        <v>113524922</v>
      </c>
      <c r="D7" s="70">
        <f>125303790-1542000</f>
        <v>123761790</v>
      </c>
      <c r="E7" s="69">
        <v>117285420</v>
      </c>
      <c r="F7" s="19">
        <f t="shared" si="0"/>
        <v>103.31248675070658</v>
      </c>
      <c r="G7" s="19">
        <f t="shared" si="1"/>
        <v>94.7670682526489</v>
      </c>
    </row>
    <row r="8" spans="1:7" ht="18" customHeight="1">
      <c r="A8" s="76" t="s">
        <v>142</v>
      </c>
      <c r="B8" s="39" t="s">
        <v>392</v>
      </c>
      <c r="C8" s="70">
        <v>0</v>
      </c>
      <c r="D8" s="70">
        <v>0</v>
      </c>
      <c r="E8" s="69">
        <v>6000000</v>
      </c>
      <c r="F8" s="19" t="str">
        <f t="shared" si="0"/>
        <v>-</v>
      </c>
      <c r="G8" s="19" t="str">
        <f t="shared" si="1"/>
        <v>-</v>
      </c>
    </row>
    <row r="9" spans="1:8" ht="18" customHeight="1">
      <c r="A9" s="76" t="s">
        <v>143</v>
      </c>
      <c r="B9" s="39" t="s">
        <v>203</v>
      </c>
      <c r="C9" s="69">
        <v>1300000</v>
      </c>
      <c r="D9" s="69">
        <v>1400000</v>
      </c>
      <c r="E9" s="69">
        <v>1470000</v>
      </c>
      <c r="F9" s="19">
        <f t="shared" si="0"/>
        <v>113.07692307692308</v>
      </c>
      <c r="G9" s="19">
        <f t="shared" si="1"/>
        <v>105</v>
      </c>
      <c r="H9" s="30"/>
    </row>
    <row r="10" spans="1:8" ht="18" customHeight="1">
      <c r="A10" s="76" t="s">
        <v>144</v>
      </c>
      <c r="B10" s="39" t="s">
        <v>325</v>
      </c>
      <c r="C10" s="69">
        <v>54300000</v>
      </c>
      <c r="D10" s="69">
        <v>120000000</v>
      </c>
      <c r="E10" s="69">
        <v>0</v>
      </c>
      <c r="F10" s="19">
        <f t="shared" si="0"/>
        <v>0</v>
      </c>
      <c r="G10" s="19">
        <f t="shared" si="1"/>
        <v>0</v>
      </c>
      <c r="H10" s="30">
        <f>SUM(E10:E12)</f>
        <v>45000000</v>
      </c>
    </row>
    <row r="11" spans="1:7" ht="18" customHeight="1">
      <c r="A11" s="76" t="s">
        <v>144</v>
      </c>
      <c r="B11" s="39" t="s">
        <v>427</v>
      </c>
      <c r="C11" s="69">
        <v>0</v>
      </c>
      <c r="D11" s="69">
        <v>0</v>
      </c>
      <c r="E11" s="69">
        <v>30000000</v>
      </c>
      <c r="F11" s="19" t="str">
        <f t="shared" si="0"/>
        <v>-</v>
      </c>
      <c r="G11" s="19" t="str">
        <f t="shared" si="1"/>
        <v>-</v>
      </c>
    </row>
    <row r="12" spans="1:7" ht="18" customHeight="1">
      <c r="A12" s="76" t="s">
        <v>144</v>
      </c>
      <c r="B12" s="39" t="s">
        <v>428</v>
      </c>
      <c r="C12" s="69">
        <v>0</v>
      </c>
      <c r="D12" s="69">
        <v>0</v>
      </c>
      <c r="E12" s="69">
        <v>15000000</v>
      </c>
      <c r="F12" s="19" t="str">
        <f t="shared" si="0"/>
        <v>-</v>
      </c>
      <c r="G12" s="19" t="str">
        <f t="shared" si="1"/>
        <v>-</v>
      </c>
    </row>
    <row r="13" spans="1:7" ht="18" customHeight="1">
      <c r="A13" s="76" t="s">
        <v>145</v>
      </c>
      <c r="B13" s="16" t="s">
        <v>17</v>
      </c>
      <c r="C13" s="69">
        <v>6700000</v>
      </c>
      <c r="D13" s="69">
        <v>7150000</v>
      </c>
      <c r="E13" s="69">
        <v>7500000</v>
      </c>
      <c r="F13" s="19">
        <f t="shared" si="0"/>
        <v>111.94029850746267</v>
      </c>
      <c r="G13" s="19">
        <f t="shared" si="1"/>
        <v>104.8951048951049</v>
      </c>
    </row>
    <row r="14" spans="1:7" ht="18" customHeight="1">
      <c r="A14" s="76" t="s">
        <v>159</v>
      </c>
      <c r="B14" s="16" t="s">
        <v>160</v>
      </c>
      <c r="C14" s="69">
        <v>7500000</v>
      </c>
      <c r="D14" s="69">
        <f>7000000-7000000</f>
        <v>0</v>
      </c>
      <c r="E14" s="69">
        <v>0</v>
      </c>
      <c r="F14" s="19">
        <f t="shared" si="0"/>
        <v>0</v>
      </c>
      <c r="G14" s="19" t="str">
        <f t="shared" si="1"/>
        <v>-</v>
      </c>
    </row>
    <row r="15" spans="1:7" ht="18" customHeight="1">
      <c r="A15" s="77"/>
      <c r="B15" s="16"/>
      <c r="C15" s="69"/>
      <c r="D15" s="69"/>
      <c r="E15" s="69"/>
      <c r="F15" s="19"/>
      <c r="G15" s="19"/>
    </row>
    <row r="16" spans="1:7" ht="18" customHeight="1" thickBot="1">
      <c r="A16" s="32"/>
      <c r="B16" s="33" t="s">
        <v>253</v>
      </c>
      <c r="C16" s="41">
        <f>SUM(C3:C15)</f>
        <v>566612831</v>
      </c>
      <c r="D16" s="41">
        <f>SUM(D3:D15)</f>
        <v>703335060</v>
      </c>
      <c r="E16" s="41">
        <f>SUM(E3:E15)</f>
        <v>607982040</v>
      </c>
      <c r="F16" s="35">
        <f t="shared" si="0"/>
        <v>107.3011422856395</v>
      </c>
      <c r="G16" s="35">
        <f t="shared" si="1"/>
        <v>86.44273186097107</v>
      </c>
    </row>
    <row r="17" ht="18" customHeight="1">
      <c r="A17" s="42" t="s">
        <v>30</v>
      </c>
    </row>
    <row r="18" spans="3:5" ht="18" customHeight="1">
      <c r="C18" s="78"/>
      <c r="D18" s="78"/>
      <c r="E18" s="78"/>
    </row>
    <row r="19" spans="2:7" ht="18" customHeight="1">
      <c r="B19" s="26"/>
      <c r="C19" s="79"/>
      <c r="D19" s="79"/>
      <c r="E19" s="79"/>
      <c r="F19" s="79"/>
      <c r="G19" s="79"/>
    </row>
    <row r="20" spans="3:7" ht="18" customHeight="1">
      <c r="C20" s="79"/>
      <c r="D20" s="79"/>
      <c r="E20" s="79"/>
      <c r="F20" s="79"/>
      <c r="G20" s="79"/>
    </row>
    <row r="21" spans="3:7" ht="18" customHeight="1">
      <c r="C21" s="80"/>
      <c r="D21" s="80"/>
      <c r="E21" s="80"/>
      <c r="F21" s="80"/>
      <c r="G21" s="80"/>
    </row>
    <row r="22" spans="3:7" ht="18" customHeight="1">
      <c r="C22" s="80"/>
      <c r="D22" s="80"/>
      <c r="E22" s="80"/>
      <c r="F22" s="80"/>
      <c r="G22" s="80"/>
    </row>
    <row r="23" spans="3:7" ht="18" customHeight="1">
      <c r="C23" s="80"/>
      <c r="D23" s="80"/>
      <c r="E23" s="80"/>
      <c r="F23" s="80"/>
      <c r="G23" s="80"/>
    </row>
    <row r="24" spans="3:7" ht="18" customHeight="1">
      <c r="C24" s="80"/>
      <c r="D24" s="80"/>
      <c r="E24" s="80"/>
      <c r="F24" s="80"/>
      <c r="G24" s="80"/>
    </row>
    <row r="25" spans="3:7" ht="18" customHeight="1">
      <c r="C25" s="80"/>
      <c r="D25" s="80"/>
      <c r="E25" s="80"/>
      <c r="F25" s="80"/>
      <c r="G25" s="80"/>
    </row>
    <row r="26" spans="3:7" ht="18" customHeight="1">
      <c r="C26" s="80"/>
      <c r="D26" s="80"/>
      <c r="E26" s="80"/>
      <c r="F26" s="80"/>
      <c r="G26" s="80"/>
    </row>
    <row r="27" spans="3:7" ht="18" customHeight="1">
      <c r="C27" s="80"/>
      <c r="D27" s="80"/>
      <c r="E27" s="80"/>
      <c r="F27" s="80"/>
      <c r="G27" s="80"/>
    </row>
    <row r="28" spans="2:7" ht="18" customHeight="1">
      <c r="B28" s="26"/>
      <c r="C28" s="81"/>
      <c r="D28" s="81"/>
      <c r="E28" s="81"/>
      <c r="F28" s="81"/>
      <c r="G28" s="81"/>
    </row>
    <row r="29" spans="3:7" ht="18" customHeight="1">
      <c r="C29" s="80"/>
      <c r="D29" s="80"/>
      <c r="E29" s="80"/>
      <c r="F29" s="80"/>
      <c r="G29" s="80"/>
    </row>
    <row r="30" spans="3:7" ht="18" customHeight="1">
      <c r="C30" s="80"/>
      <c r="D30" s="80"/>
      <c r="E30" s="80"/>
      <c r="F30" s="80"/>
      <c r="G30" s="80"/>
    </row>
  </sheetData>
  <printOptions/>
  <pageMargins left="0.24" right="0.17" top="1.17" bottom="0.91" header="0.41" footer="0.5511811023622047"/>
  <pageSetup firstPageNumber="18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6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00390625" defaultRowHeight="18" customHeight="1"/>
  <cols>
    <col min="1" max="1" width="6.875" style="21" customWidth="1"/>
    <col min="2" max="2" width="42.00390625" style="23" customWidth="1"/>
    <col min="3" max="3" width="12.625" style="25" customWidth="1"/>
    <col min="4" max="4" width="14.625" style="25" customWidth="1"/>
    <col min="5" max="5" width="11.75390625" style="25" customWidth="1"/>
    <col min="6" max="6" width="7.625" style="25" customWidth="1"/>
    <col min="7" max="7" width="7.25390625" style="25" customWidth="1"/>
    <col min="8" max="9" width="11.125" style="22" bestFit="1" customWidth="1"/>
    <col min="10" max="16384" width="11.00390625" style="22" customWidth="1"/>
  </cols>
  <sheetData>
    <row r="1" spans="1:7" s="43" customFormat="1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s="43" customFormat="1" ht="18" customHeight="1" thickBot="1">
      <c r="A2" s="28" t="s">
        <v>225</v>
      </c>
      <c r="B2" s="29"/>
      <c r="C2" s="32">
        <v>2001</v>
      </c>
      <c r="D2" s="32" t="s">
        <v>358</v>
      </c>
      <c r="E2" s="32">
        <v>2003</v>
      </c>
      <c r="F2" s="9" t="s">
        <v>359</v>
      </c>
      <c r="G2" s="9" t="s">
        <v>360</v>
      </c>
    </row>
    <row r="3" spans="1:255" s="67" customFormat="1" ht="18" customHeight="1">
      <c r="A3" s="63" t="s">
        <v>129</v>
      </c>
      <c r="B3" s="64" t="s">
        <v>36</v>
      </c>
      <c r="C3" s="65">
        <v>3298330</v>
      </c>
      <c r="D3" s="65">
        <v>3572000</v>
      </c>
      <c r="E3" s="65">
        <v>3000000</v>
      </c>
      <c r="F3" s="66">
        <f>IF(C3=0,"-",$E3/C3*100)</f>
        <v>90.95511971209673</v>
      </c>
      <c r="G3" s="66">
        <f>IF(D3=0,"-",$E3/D3*100)</f>
        <v>83.98656215005599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67" customFormat="1" ht="18" customHeight="1">
      <c r="A4" s="31" t="s">
        <v>128</v>
      </c>
      <c r="B4" s="39" t="s">
        <v>295</v>
      </c>
      <c r="C4" s="40">
        <v>800000</v>
      </c>
      <c r="D4" s="40">
        <v>850000</v>
      </c>
      <c r="E4" s="40">
        <v>900000</v>
      </c>
      <c r="F4" s="19">
        <f>IF(C4=0,"-",$E4/C4*100)</f>
        <v>112.5</v>
      </c>
      <c r="G4" s="19">
        <f>IF(D4=0,"-",$E4/D4*100)</f>
        <v>105.88235294117648</v>
      </c>
      <c r="H4" s="68">
        <f>SUM(E4:E5)</f>
        <v>3470000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ht="18" customHeight="1">
      <c r="A5" s="31" t="s">
        <v>128</v>
      </c>
      <c r="B5" s="39" t="s">
        <v>259</v>
      </c>
      <c r="C5" s="69">
        <v>3200000</v>
      </c>
      <c r="D5" s="69">
        <v>2900000</v>
      </c>
      <c r="E5" s="40">
        <v>2570000</v>
      </c>
      <c r="F5" s="19">
        <f aca="true" t="shared" si="0" ref="F5:F47">IF(C5=0,"-",$E5/C5*100)</f>
        <v>80.3125</v>
      </c>
      <c r="G5" s="19">
        <f aca="true" t="shared" si="1" ref="G5:G47">IF(D5=0,"-",$E5/D5*100)</f>
        <v>88.62068965517241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ht="18" customHeight="1">
      <c r="A6" s="31" t="s">
        <v>128</v>
      </c>
      <c r="B6" s="39" t="s">
        <v>388</v>
      </c>
      <c r="C6" s="69">
        <v>0</v>
      </c>
      <c r="D6" s="69">
        <f>5000000+606304</f>
        <v>5606304</v>
      </c>
      <c r="E6" s="40">
        <v>0</v>
      </c>
      <c r="F6" s="19" t="str">
        <f t="shared" si="0"/>
        <v>-</v>
      </c>
      <c r="G6" s="19">
        <f t="shared" si="1"/>
        <v>0</v>
      </c>
      <c r="H6" s="68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7" ht="18" customHeight="1">
      <c r="A7" s="31" t="s">
        <v>127</v>
      </c>
      <c r="B7" s="39" t="s">
        <v>37</v>
      </c>
      <c r="C7" s="69">
        <v>2499999</v>
      </c>
      <c r="D7" s="69">
        <v>2660000</v>
      </c>
      <c r="E7" s="40">
        <v>2800000</v>
      </c>
      <c r="F7" s="19">
        <f t="shared" si="0"/>
        <v>112.00004480001793</v>
      </c>
      <c r="G7" s="19">
        <f t="shared" si="1"/>
        <v>105.26315789473684</v>
      </c>
    </row>
    <row r="8" spans="1:7" ht="18" customHeight="1">
      <c r="A8" s="31" t="s">
        <v>126</v>
      </c>
      <c r="B8" s="39" t="s">
        <v>38</v>
      </c>
      <c r="C8" s="69">
        <v>3256000</v>
      </c>
      <c r="D8" s="69">
        <v>3485000</v>
      </c>
      <c r="E8" s="40">
        <v>4000000</v>
      </c>
      <c r="F8" s="19">
        <f t="shared" si="0"/>
        <v>122.85012285012284</v>
      </c>
      <c r="G8" s="19">
        <f t="shared" si="1"/>
        <v>114.77761836441893</v>
      </c>
    </row>
    <row r="9" spans="1:7" ht="18" customHeight="1">
      <c r="A9" s="31" t="s">
        <v>125</v>
      </c>
      <c r="B9" s="16" t="s">
        <v>199</v>
      </c>
      <c r="C9" s="69">
        <v>15078997</v>
      </c>
      <c r="D9" s="69">
        <v>16044000</v>
      </c>
      <c r="E9" s="40">
        <v>16860000</v>
      </c>
      <c r="F9" s="19">
        <f t="shared" si="0"/>
        <v>111.81115030396252</v>
      </c>
      <c r="G9" s="19">
        <f t="shared" si="1"/>
        <v>105.08601346297681</v>
      </c>
    </row>
    <row r="10" spans="1:7" ht="18" customHeight="1">
      <c r="A10" s="31" t="s">
        <v>124</v>
      </c>
      <c r="B10" s="16" t="s">
        <v>289</v>
      </c>
      <c r="C10" s="69">
        <v>1116997</v>
      </c>
      <c r="D10" s="69">
        <f>3350000-1300000</f>
        <v>2050000</v>
      </c>
      <c r="E10" s="40">
        <v>3321000</v>
      </c>
      <c r="F10" s="19">
        <f t="shared" si="0"/>
        <v>297.3150330752903</v>
      </c>
      <c r="G10" s="19">
        <f t="shared" si="1"/>
        <v>162</v>
      </c>
    </row>
    <row r="11" spans="1:7" ht="18" customHeight="1">
      <c r="A11" s="48" t="s">
        <v>119</v>
      </c>
      <c r="B11" s="59" t="s">
        <v>290</v>
      </c>
      <c r="C11" s="69">
        <v>1557709</v>
      </c>
      <c r="D11" s="69">
        <v>1038000</v>
      </c>
      <c r="E11" s="40">
        <v>858000</v>
      </c>
      <c r="F11" s="19">
        <f t="shared" si="0"/>
        <v>55.080891231931</v>
      </c>
      <c r="G11" s="19">
        <f t="shared" si="1"/>
        <v>82.65895953757226</v>
      </c>
    </row>
    <row r="12" spans="1:8" ht="18" customHeight="1">
      <c r="A12" s="31" t="s">
        <v>123</v>
      </c>
      <c r="B12" s="16" t="s">
        <v>291</v>
      </c>
      <c r="C12" s="69">
        <v>3699997</v>
      </c>
      <c r="D12" s="69">
        <f>4000000+1500000</f>
        <v>5500000</v>
      </c>
      <c r="E12" s="40">
        <v>4500000</v>
      </c>
      <c r="F12" s="19">
        <f t="shared" si="0"/>
        <v>121.62172023382722</v>
      </c>
      <c r="G12" s="19">
        <f t="shared" si="1"/>
        <v>81.81818181818183</v>
      </c>
      <c r="H12" s="30"/>
    </row>
    <row r="13" spans="1:8" ht="18" customHeight="1">
      <c r="A13" s="31" t="s">
        <v>122</v>
      </c>
      <c r="B13" s="16" t="s">
        <v>320</v>
      </c>
      <c r="C13" s="69">
        <v>29000000</v>
      </c>
      <c r="D13" s="69">
        <f>31000000-3500000</f>
        <v>27500000</v>
      </c>
      <c r="E13" s="40">
        <v>30886000</v>
      </c>
      <c r="F13" s="19">
        <f t="shared" si="0"/>
        <v>106.50344827586207</v>
      </c>
      <c r="G13" s="19">
        <f t="shared" si="1"/>
        <v>112.31272727272727</v>
      </c>
      <c r="H13" s="30">
        <f>SUM(E13:E14)</f>
        <v>34566000</v>
      </c>
    </row>
    <row r="14" spans="1:7" ht="18" customHeight="1">
      <c r="A14" s="31" t="s">
        <v>122</v>
      </c>
      <c r="B14" s="16" t="s">
        <v>321</v>
      </c>
      <c r="C14" s="69">
        <v>0</v>
      </c>
      <c r="D14" s="69">
        <v>3500000</v>
      </c>
      <c r="E14" s="40">
        <v>3680000</v>
      </c>
      <c r="F14" s="19" t="str">
        <f t="shared" si="0"/>
        <v>-</v>
      </c>
      <c r="G14" s="19">
        <f t="shared" si="1"/>
        <v>105.14285714285714</v>
      </c>
    </row>
    <row r="15" spans="1:7" ht="18" customHeight="1">
      <c r="A15" s="31" t="s">
        <v>121</v>
      </c>
      <c r="B15" s="16" t="s">
        <v>230</v>
      </c>
      <c r="C15" s="69">
        <v>40696782</v>
      </c>
      <c r="D15" s="69">
        <f>43300000-1500000+1200000</f>
        <v>43000000</v>
      </c>
      <c r="E15" s="40">
        <v>40200000</v>
      </c>
      <c r="F15" s="19">
        <f t="shared" si="0"/>
        <v>98.77930888982819</v>
      </c>
      <c r="G15" s="19">
        <f t="shared" si="1"/>
        <v>93.48837209302326</v>
      </c>
    </row>
    <row r="16" spans="1:8" ht="18" customHeight="1">
      <c r="A16" s="31" t="s">
        <v>120</v>
      </c>
      <c r="B16" s="39" t="s">
        <v>284</v>
      </c>
      <c r="C16" s="69">
        <v>150052941</v>
      </c>
      <c r="D16" s="70">
        <f>141065150+5949550+122300</f>
        <v>147137000</v>
      </c>
      <c r="E16" s="40">
        <v>155240020</v>
      </c>
      <c r="F16" s="19">
        <f t="shared" si="0"/>
        <v>103.45683261216453</v>
      </c>
      <c r="G16" s="19">
        <f t="shared" si="1"/>
        <v>105.50712601181212</v>
      </c>
      <c r="H16" s="30">
        <f>SUM(E16:E18)</f>
        <v>243607040</v>
      </c>
    </row>
    <row r="17" spans="1:7" ht="18" customHeight="1">
      <c r="A17" s="31" t="s">
        <v>120</v>
      </c>
      <c r="B17" s="39" t="s">
        <v>285</v>
      </c>
      <c r="C17" s="69">
        <v>21308946</v>
      </c>
      <c r="D17" s="69">
        <f>20309350+746820+19700</f>
        <v>21075870</v>
      </c>
      <c r="E17" s="40">
        <v>22915280</v>
      </c>
      <c r="F17" s="19">
        <f t="shared" si="0"/>
        <v>107.53830808900638</v>
      </c>
      <c r="G17" s="19">
        <f t="shared" si="1"/>
        <v>108.7275637968919</v>
      </c>
    </row>
    <row r="18" spans="1:9" ht="18" customHeight="1">
      <c r="A18" s="31" t="s">
        <v>120</v>
      </c>
      <c r="B18" s="39" t="s">
        <v>292</v>
      </c>
      <c r="C18" s="69">
        <v>24840216</v>
      </c>
      <c r="D18" s="69">
        <f>54485280-1000000+3656630</f>
        <v>57141910</v>
      </c>
      <c r="E18" s="40">
        <v>65451740</v>
      </c>
      <c r="F18" s="19">
        <f t="shared" si="0"/>
        <v>263.49102600396066</v>
      </c>
      <c r="G18" s="19">
        <f t="shared" si="1"/>
        <v>114.54244354100169</v>
      </c>
      <c r="I18" s="30"/>
    </row>
    <row r="19" spans="1:7" ht="10.5" customHeight="1">
      <c r="A19" s="31"/>
      <c r="B19" s="39" t="s">
        <v>39</v>
      </c>
      <c r="C19" s="69"/>
      <c r="D19" s="69"/>
      <c r="E19" s="40"/>
      <c r="F19" s="19"/>
      <c r="G19" s="19"/>
    </row>
    <row r="20" spans="1:8" ht="18" customHeight="1">
      <c r="A20" s="31"/>
      <c r="B20" s="39" t="s">
        <v>40</v>
      </c>
      <c r="C20" s="69">
        <v>137374596</v>
      </c>
      <c r="D20" s="69">
        <f>125992813+17000000+10353000</f>
        <v>153345813</v>
      </c>
      <c r="E20" s="40">
        <v>165607040</v>
      </c>
      <c r="F20" s="19">
        <f t="shared" si="0"/>
        <v>120.55143004751767</v>
      </c>
      <c r="G20" s="19">
        <f t="shared" si="1"/>
        <v>107.99580161996336</v>
      </c>
      <c r="H20" s="30">
        <f>SUM(E20:E24)</f>
        <v>243607040</v>
      </c>
    </row>
    <row r="21" spans="1:8" ht="18" customHeight="1">
      <c r="A21" s="31"/>
      <c r="B21" s="39" t="s">
        <v>393</v>
      </c>
      <c r="C21" s="69">
        <v>0</v>
      </c>
      <c r="D21" s="69">
        <v>0</v>
      </c>
      <c r="E21" s="40">
        <v>2500945</v>
      </c>
      <c r="F21" s="19" t="str">
        <f t="shared" si="0"/>
        <v>-</v>
      </c>
      <c r="G21" s="19" t="str">
        <f t="shared" si="1"/>
        <v>-</v>
      </c>
      <c r="H21" s="30"/>
    </row>
    <row r="22" spans="1:7" ht="18" customHeight="1">
      <c r="A22" s="31"/>
      <c r="B22" s="39" t="s">
        <v>41</v>
      </c>
      <c r="C22" s="69">
        <v>41732638</v>
      </c>
      <c r="D22" s="69">
        <f>49374812+142000</f>
        <v>49516812</v>
      </c>
      <c r="E22" s="40">
        <v>52013960</v>
      </c>
      <c r="F22" s="19">
        <f t="shared" si="0"/>
        <v>124.63616606263903</v>
      </c>
      <c r="G22" s="19">
        <f t="shared" si="1"/>
        <v>105.04303063775593</v>
      </c>
    </row>
    <row r="23" spans="1:9" ht="18" customHeight="1">
      <c r="A23" s="31"/>
      <c r="B23" s="39" t="s">
        <v>216</v>
      </c>
      <c r="C23" s="69">
        <v>8550000</v>
      </c>
      <c r="D23" s="69">
        <f>11149200-1000000</f>
        <v>10149200</v>
      </c>
      <c r="E23" s="40">
        <v>10680000</v>
      </c>
      <c r="F23" s="19">
        <f t="shared" si="0"/>
        <v>124.9122807017544</v>
      </c>
      <c r="G23" s="19">
        <f t="shared" si="1"/>
        <v>105.22996886454106</v>
      </c>
      <c r="I23" s="30"/>
    </row>
    <row r="24" spans="1:9" ht="18" customHeight="1">
      <c r="A24" s="31"/>
      <c r="B24" s="39" t="s">
        <v>293</v>
      </c>
      <c r="C24" s="69">
        <v>8544869</v>
      </c>
      <c r="D24" s="69">
        <v>12342955</v>
      </c>
      <c r="E24" s="40">
        <v>12805095</v>
      </c>
      <c r="F24" s="19">
        <f t="shared" si="0"/>
        <v>149.85712478447593</v>
      </c>
      <c r="G24" s="19">
        <f t="shared" si="1"/>
        <v>103.74416013021192</v>
      </c>
      <c r="I24" s="30"/>
    </row>
    <row r="25" spans="1:7" ht="9" customHeight="1">
      <c r="A25" s="31"/>
      <c r="B25" s="71"/>
      <c r="C25" s="69"/>
      <c r="D25" s="69"/>
      <c r="E25" s="40"/>
      <c r="F25" s="19"/>
      <c r="G25" s="19"/>
    </row>
    <row r="26" spans="1:8" ht="18" customHeight="1">
      <c r="A26" s="48" t="s">
        <v>119</v>
      </c>
      <c r="B26" s="71" t="s">
        <v>202</v>
      </c>
      <c r="C26" s="69">
        <v>10500000</v>
      </c>
      <c r="D26" s="69">
        <f>11200000+800000</f>
        <v>12000000</v>
      </c>
      <c r="E26" s="40">
        <v>0</v>
      </c>
      <c r="F26" s="19">
        <f t="shared" si="0"/>
        <v>0</v>
      </c>
      <c r="G26" s="19">
        <f t="shared" si="1"/>
        <v>0</v>
      </c>
      <c r="H26" s="30">
        <f>SUM(E26:E32)+E11</f>
        <v>31992000</v>
      </c>
    </row>
    <row r="27" spans="1:7" ht="18" customHeight="1">
      <c r="A27" s="48" t="s">
        <v>119</v>
      </c>
      <c r="B27" s="59" t="s">
        <v>266</v>
      </c>
      <c r="C27" s="69">
        <v>0</v>
      </c>
      <c r="D27" s="69">
        <f>2800000+3581000-381000</f>
        <v>6000000</v>
      </c>
      <c r="E27" s="40">
        <v>0</v>
      </c>
      <c r="F27" s="19" t="str">
        <f t="shared" si="0"/>
        <v>-</v>
      </c>
      <c r="G27" s="19">
        <f t="shared" si="1"/>
        <v>0</v>
      </c>
    </row>
    <row r="28" spans="1:7" ht="18" customHeight="1">
      <c r="A28" s="48" t="s">
        <v>119</v>
      </c>
      <c r="B28" s="59" t="s">
        <v>396</v>
      </c>
      <c r="C28" s="69">
        <v>0</v>
      </c>
      <c r="D28" s="69">
        <v>0</v>
      </c>
      <c r="E28" s="40">
        <v>6357000</v>
      </c>
      <c r="F28" s="19" t="str">
        <f t="shared" si="0"/>
        <v>-</v>
      </c>
      <c r="G28" s="19" t="str">
        <f t="shared" si="1"/>
        <v>-</v>
      </c>
    </row>
    <row r="29" spans="1:8" ht="18" customHeight="1">
      <c r="A29" s="48" t="s">
        <v>119</v>
      </c>
      <c r="B29" s="59" t="s">
        <v>260</v>
      </c>
      <c r="C29" s="69">
        <v>9871000</v>
      </c>
      <c r="D29" s="69">
        <f>3073000+700000</f>
        <v>3773000</v>
      </c>
      <c r="E29" s="40">
        <v>3000000</v>
      </c>
      <c r="F29" s="19">
        <f t="shared" si="0"/>
        <v>30.392057542295614</v>
      </c>
      <c r="G29" s="19">
        <f t="shared" si="1"/>
        <v>79.5123244102836</v>
      </c>
      <c r="H29" s="30"/>
    </row>
    <row r="30" spans="1:9" ht="18" customHeight="1">
      <c r="A30" s="48" t="s">
        <v>119</v>
      </c>
      <c r="B30" s="59" t="s">
        <v>343</v>
      </c>
      <c r="C30" s="69">
        <v>0</v>
      </c>
      <c r="D30" s="69">
        <v>1000000</v>
      </c>
      <c r="E30" s="40">
        <v>1200000</v>
      </c>
      <c r="F30" s="19" t="str">
        <f t="shared" si="0"/>
        <v>-</v>
      </c>
      <c r="G30" s="19">
        <f t="shared" si="1"/>
        <v>120</v>
      </c>
      <c r="I30" s="30"/>
    </row>
    <row r="31" spans="1:9" ht="18" customHeight="1">
      <c r="A31" s="48" t="s">
        <v>119</v>
      </c>
      <c r="B31" s="59" t="s">
        <v>397</v>
      </c>
      <c r="C31" s="69">
        <v>0</v>
      </c>
      <c r="D31" s="69">
        <v>0</v>
      </c>
      <c r="E31" s="40">
        <v>4000000</v>
      </c>
      <c r="F31" s="19" t="str">
        <f t="shared" si="0"/>
        <v>-</v>
      </c>
      <c r="G31" s="19" t="str">
        <f t="shared" si="1"/>
        <v>-</v>
      </c>
      <c r="I31" s="30"/>
    </row>
    <row r="32" spans="1:7" ht="18" customHeight="1">
      <c r="A32" s="48" t="s">
        <v>119</v>
      </c>
      <c r="B32" s="59" t="s">
        <v>261</v>
      </c>
      <c r="C32" s="69">
        <v>12861271</v>
      </c>
      <c r="D32" s="69">
        <f>24947000-2200000-1000000</f>
        <v>21747000</v>
      </c>
      <c r="E32" s="40">
        <v>16577000</v>
      </c>
      <c r="F32" s="19">
        <f t="shared" si="0"/>
        <v>128.89083823830475</v>
      </c>
      <c r="G32" s="19">
        <f t="shared" si="1"/>
        <v>76.22660596863935</v>
      </c>
    </row>
    <row r="33" spans="1:7" ht="18" customHeight="1">
      <c r="A33" s="48" t="s">
        <v>118</v>
      </c>
      <c r="B33" s="59" t="s">
        <v>294</v>
      </c>
      <c r="C33" s="69">
        <v>3000000</v>
      </c>
      <c r="D33" s="69">
        <f>3200000+1800000</f>
        <v>5000000</v>
      </c>
      <c r="E33" s="40">
        <v>11000000</v>
      </c>
      <c r="F33" s="19">
        <f t="shared" si="0"/>
        <v>366.66666666666663</v>
      </c>
      <c r="G33" s="19">
        <f t="shared" si="1"/>
        <v>220.00000000000003</v>
      </c>
    </row>
    <row r="34" spans="1:8" ht="18" customHeight="1">
      <c r="A34" s="48" t="s">
        <v>117</v>
      </c>
      <c r="B34" s="59" t="s">
        <v>326</v>
      </c>
      <c r="C34" s="69">
        <v>3600000</v>
      </c>
      <c r="D34" s="69">
        <f>3850000-850000</f>
        <v>3000000</v>
      </c>
      <c r="E34" s="40">
        <v>3000000</v>
      </c>
      <c r="F34" s="19">
        <f t="shared" si="0"/>
        <v>83.33333333333334</v>
      </c>
      <c r="G34" s="19">
        <f t="shared" si="1"/>
        <v>100</v>
      </c>
      <c r="H34" s="30">
        <f>SUM(E34:E36)</f>
        <v>13000000</v>
      </c>
    </row>
    <row r="35" spans="1:7" ht="18" customHeight="1">
      <c r="A35" s="48" t="s">
        <v>117</v>
      </c>
      <c r="B35" s="59" t="s">
        <v>456</v>
      </c>
      <c r="C35" s="69">
        <v>4000000</v>
      </c>
      <c r="D35" s="69">
        <f>4000000+850000+2000000</f>
        <v>6850000</v>
      </c>
      <c r="E35" s="40">
        <v>0</v>
      </c>
      <c r="F35" s="19">
        <f t="shared" si="0"/>
        <v>0</v>
      </c>
      <c r="G35" s="19">
        <f t="shared" si="1"/>
        <v>0</v>
      </c>
    </row>
    <row r="36" spans="1:7" ht="18" customHeight="1">
      <c r="A36" s="48" t="s">
        <v>117</v>
      </c>
      <c r="B36" s="59" t="s">
        <v>445</v>
      </c>
      <c r="C36" s="69">
        <v>0</v>
      </c>
      <c r="D36" s="69">
        <v>0</v>
      </c>
      <c r="E36" s="40">
        <v>10000000</v>
      </c>
      <c r="F36" s="19" t="str">
        <f t="shared" si="0"/>
        <v>-</v>
      </c>
      <c r="G36" s="19" t="str">
        <f t="shared" si="1"/>
        <v>-</v>
      </c>
    </row>
    <row r="37" spans="1:8" ht="18" customHeight="1">
      <c r="A37" s="48" t="s">
        <v>179</v>
      </c>
      <c r="B37" s="39" t="s">
        <v>161</v>
      </c>
      <c r="C37" s="69">
        <v>15000000</v>
      </c>
      <c r="D37" s="69">
        <v>7000000</v>
      </c>
      <c r="E37" s="40">
        <v>8000000</v>
      </c>
      <c r="F37" s="19">
        <f t="shared" si="0"/>
        <v>53.333333333333336</v>
      </c>
      <c r="G37" s="19">
        <f t="shared" si="1"/>
        <v>114.28571428571428</v>
      </c>
      <c r="H37" s="25"/>
    </row>
    <row r="38" spans="1:7" ht="18" customHeight="1">
      <c r="A38" s="31" t="s">
        <v>184</v>
      </c>
      <c r="B38" s="16" t="s">
        <v>165</v>
      </c>
      <c r="C38" s="69">
        <v>2100000</v>
      </c>
      <c r="D38" s="69">
        <v>2235000</v>
      </c>
      <c r="E38" s="40">
        <v>2350000</v>
      </c>
      <c r="F38" s="19">
        <f t="shared" si="0"/>
        <v>111.90476190476191</v>
      </c>
      <c r="G38" s="19">
        <f t="shared" si="1"/>
        <v>105.1454138702461</v>
      </c>
    </row>
    <row r="39" spans="1:7" ht="18" customHeight="1">
      <c r="A39" s="31" t="s">
        <v>363</v>
      </c>
      <c r="B39" s="16" t="s">
        <v>364</v>
      </c>
      <c r="C39" s="69">
        <v>5000000</v>
      </c>
      <c r="D39" s="69">
        <v>0</v>
      </c>
      <c r="E39" s="40">
        <v>0</v>
      </c>
      <c r="F39" s="19">
        <f>IF(C39=0,"-",$E39/C39*100)</f>
        <v>0</v>
      </c>
      <c r="G39" s="19" t="str">
        <f>IF(D39=0,"-",$E39/D39*100)</f>
        <v>-</v>
      </c>
    </row>
    <row r="40" spans="1:7" ht="18" customHeight="1">
      <c r="A40" s="31" t="s">
        <v>333</v>
      </c>
      <c r="B40" s="16" t="s">
        <v>334</v>
      </c>
      <c r="C40" s="69">
        <v>0</v>
      </c>
      <c r="D40" s="69">
        <v>1000000</v>
      </c>
      <c r="E40" s="40">
        <v>0</v>
      </c>
      <c r="F40" s="19" t="str">
        <f t="shared" si="0"/>
        <v>-</v>
      </c>
      <c r="G40" s="19">
        <f t="shared" si="1"/>
        <v>0</v>
      </c>
    </row>
    <row r="41" spans="1:7" ht="18" customHeight="1" thickBot="1">
      <c r="A41" s="32"/>
      <c r="B41" s="50" t="s">
        <v>255</v>
      </c>
      <c r="C41" s="41">
        <f>SUM(C3:C40)-SUM(C20:C25)</f>
        <v>366339185</v>
      </c>
      <c r="D41" s="41">
        <f>SUM(D3:D40)-SUM(D20:D25)</f>
        <v>412665084</v>
      </c>
      <c r="E41" s="41">
        <f>SUM(E3:E40)-SUM(E20:E25)</f>
        <v>422666040</v>
      </c>
      <c r="F41" s="35">
        <f t="shared" si="0"/>
        <v>115.37560198481087</v>
      </c>
      <c r="G41" s="35">
        <f t="shared" si="1"/>
        <v>102.42350428658995</v>
      </c>
    </row>
    <row r="42" spans="1:7" ht="18" customHeight="1">
      <c r="A42" s="31"/>
      <c r="B42" s="11" t="s">
        <v>57</v>
      </c>
      <c r="C42" s="72"/>
      <c r="D42" s="72"/>
      <c r="E42" s="72"/>
      <c r="F42" s="19"/>
      <c r="G42" s="19"/>
    </row>
    <row r="43" spans="1:7" ht="18" customHeight="1">
      <c r="A43" s="18"/>
      <c r="B43" s="11" t="s">
        <v>194</v>
      </c>
      <c r="C43" s="14">
        <f>SUM(C44:C45)</f>
        <v>18833821</v>
      </c>
      <c r="D43" s="14">
        <f>SUM(D44:D45)</f>
        <v>0</v>
      </c>
      <c r="E43" s="14">
        <f>SUM(E44:E45)</f>
        <v>0</v>
      </c>
      <c r="F43" s="15">
        <f t="shared" si="0"/>
        <v>0</v>
      </c>
      <c r="G43" s="15" t="str">
        <f t="shared" si="1"/>
        <v>-</v>
      </c>
    </row>
    <row r="44" spans="1:7" ht="18" customHeight="1">
      <c r="A44" s="31" t="s">
        <v>116</v>
      </c>
      <c r="B44" s="16" t="s">
        <v>327</v>
      </c>
      <c r="C44" s="72">
        <v>3000000</v>
      </c>
      <c r="D44" s="72"/>
      <c r="E44" s="72"/>
      <c r="F44" s="19">
        <f t="shared" si="0"/>
        <v>0</v>
      </c>
      <c r="G44" s="19" t="str">
        <f t="shared" si="1"/>
        <v>-</v>
      </c>
    </row>
    <row r="45" spans="1:8" ht="18" customHeight="1">
      <c r="A45" s="31" t="s">
        <v>121</v>
      </c>
      <c r="B45" s="16" t="s">
        <v>328</v>
      </c>
      <c r="C45" s="17">
        <v>15833821</v>
      </c>
      <c r="D45" s="17"/>
      <c r="E45" s="17"/>
      <c r="F45" s="19">
        <f t="shared" si="0"/>
        <v>0</v>
      </c>
      <c r="G45" s="19" t="str">
        <f t="shared" si="1"/>
        <v>-</v>
      </c>
      <c r="H45" s="25"/>
    </row>
    <row r="46" spans="1:7" ht="18" customHeight="1" thickBot="1">
      <c r="A46" s="73"/>
      <c r="B46" s="33" t="s">
        <v>255</v>
      </c>
      <c r="C46" s="34">
        <f>+C43</f>
        <v>18833821</v>
      </c>
      <c r="D46" s="34">
        <f>+D43</f>
        <v>0</v>
      </c>
      <c r="E46" s="34">
        <f>+E43</f>
        <v>0</v>
      </c>
      <c r="F46" s="35">
        <f t="shared" si="0"/>
        <v>0</v>
      </c>
      <c r="G46" s="35" t="str">
        <f t="shared" si="1"/>
        <v>-</v>
      </c>
    </row>
    <row r="47" spans="1:7" ht="18" customHeight="1" thickBot="1">
      <c r="A47" s="74"/>
      <c r="B47" s="33" t="s">
        <v>253</v>
      </c>
      <c r="C47" s="75">
        <f>+C41+C46</f>
        <v>385173006</v>
      </c>
      <c r="D47" s="75">
        <f>+D41+D46</f>
        <v>412665084</v>
      </c>
      <c r="E47" s="75">
        <f>+E41+E46</f>
        <v>422666040</v>
      </c>
      <c r="F47" s="35">
        <f t="shared" si="0"/>
        <v>109.73407622443823</v>
      </c>
      <c r="G47" s="35">
        <f t="shared" si="1"/>
        <v>102.42350428658995</v>
      </c>
    </row>
    <row r="49" spans="3:5" ht="18" customHeight="1">
      <c r="C49" s="24"/>
      <c r="D49" s="24"/>
      <c r="E49" s="24"/>
    </row>
    <row r="50" ht="18" customHeight="1">
      <c r="B50" s="26"/>
    </row>
    <row r="56" ht="18" customHeight="1">
      <c r="B56" s="26"/>
    </row>
  </sheetData>
  <printOptions/>
  <pageMargins left="0.19" right="0.17" top="0.93" bottom="0.87" header="0.31" footer="0.2"/>
  <pageSetup firstPageNumber="19" useFirstPageNumber="1" horizontalDpi="360" verticalDpi="360" orientation="portrait" paperSize="9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00390625" defaultRowHeight="18" customHeight="1"/>
  <cols>
    <col min="1" max="1" width="6.875" style="21" customWidth="1"/>
    <col min="2" max="2" width="42.25390625" style="23" customWidth="1"/>
    <col min="3" max="3" width="12.625" style="25" customWidth="1"/>
    <col min="4" max="4" width="14.625" style="25" customWidth="1"/>
    <col min="5" max="5" width="11.625" style="25" customWidth="1"/>
    <col min="6" max="6" width="7.625" style="25" customWidth="1"/>
    <col min="7" max="7" width="7.375" style="25" customWidth="1"/>
    <col min="8" max="16384" width="11.00390625" style="22" customWidth="1"/>
  </cols>
  <sheetData>
    <row r="1" spans="1:7" s="43" customFormat="1" ht="18" customHeight="1">
      <c r="A1" s="1" t="s">
        <v>35</v>
      </c>
      <c r="B1" s="27" t="s">
        <v>59</v>
      </c>
      <c r="C1" s="3" t="s">
        <v>353</v>
      </c>
      <c r="D1" s="3" t="s">
        <v>355</v>
      </c>
      <c r="E1" s="3" t="s">
        <v>356</v>
      </c>
      <c r="F1" s="3" t="s">
        <v>62</v>
      </c>
      <c r="G1" s="3" t="s">
        <v>62</v>
      </c>
    </row>
    <row r="2" spans="1:7" s="43" customFormat="1" ht="18" customHeight="1" thickBot="1">
      <c r="A2" s="28" t="s">
        <v>225</v>
      </c>
      <c r="B2" s="29"/>
      <c r="C2" s="32">
        <v>2001</v>
      </c>
      <c r="D2" s="32" t="s">
        <v>358</v>
      </c>
      <c r="E2" s="32">
        <v>2003</v>
      </c>
      <c r="F2" s="9" t="s">
        <v>359</v>
      </c>
      <c r="G2" s="9" t="s">
        <v>360</v>
      </c>
    </row>
    <row r="3" spans="1:7" ht="18" customHeight="1">
      <c r="A3" s="48" t="s">
        <v>155</v>
      </c>
      <c r="B3" s="39" t="s">
        <v>36</v>
      </c>
      <c r="C3" s="40">
        <v>2445000</v>
      </c>
      <c r="D3" s="40">
        <v>2850000</v>
      </c>
      <c r="E3" s="40">
        <v>2000000</v>
      </c>
      <c r="F3" s="19">
        <f>IF(C3=0,"-",$E3/C3*100)</f>
        <v>81.79959100204499</v>
      </c>
      <c r="G3" s="19">
        <f>IF(D3=0,"-",$E3/D3*100)</f>
        <v>70.17543859649122</v>
      </c>
    </row>
    <row r="4" spans="1:7" ht="18" customHeight="1">
      <c r="A4" s="48" t="s">
        <v>154</v>
      </c>
      <c r="B4" s="39" t="s">
        <v>451</v>
      </c>
      <c r="C4" s="40">
        <v>22092000</v>
      </c>
      <c r="D4" s="40">
        <v>27580000</v>
      </c>
      <c r="E4" s="40">
        <v>29000000</v>
      </c>
      <c r="F4" s="19">
        <f>IF(C4=0,"-",$E4/C4*100)</f>
        <v>131.26923773311606</v>
      </c>
      <c r="G4" s="19">
        <f>IF(D4=0,"-",$E4/D4*100)</f>
        <v>105.14865844815084</v>
      </c>
    </row>
    <row r="5" spans="1:9" ht="18" customHeight="1">
      <c r="A5" s="31" t="s">
        <v>150</v>
      </c>
      <c r="B5" s="39" t="s">
        <v>296</v>
      </c>
      <c r="C5" s="40">
        <v>3204000</v>
      </c>
      <c r="D5" s="40">
        <v>3430000</v>
      </c>
      <c r="E5" s="40">
        <v>3605000</v>
      </c>
      <c r="F5" s="19">
        <f aca="true" t="shared" si="0" ref="F5:F29">IF(C5=0,"-",$E5/C5*100)</f>
        <v>112.51560549313358</v>
      </c>
      <c r="G5" s="19">
        <f aca="true" t="shared" si="1" ref="G5:G29">IF(D5=0,"-",$E5/D5*100)</f>
        <v>105.10204081632652</v>
      </c>
      <c r="H5" s="30">
        <f>SUM(E5:E7)</f>
        <v>22505000</v>
      </c>
      <c r="I5" s="30"/>
    </row>
    <row r="6" spans="1:7" ht="18" customHeight="1">
      <c r="A6" s="31" t="s">
        <v>150</v>
      </c>
      <c r="B6" s="39" t="s">
        <v>50</v>
      </c>
      <c r="C6" s="40">
        <v>1800000</v>
      </c>
      <c r="D6" s="40">
        <v>1930000</v>
      </c>
      <c r="E6" s="40">
        <v>2030000</v>
      </c>
      <c r="F6" s="19">
        <f t="shared" si="0"/>
        <v>112.77777777777777</v>
      </c>
      <c r="G6" s="19">
        <f t="shared" si="1"/>
        <v>105.18134715025906</v>
      </c>
    </row>
    <row r="7" spans="1:9" ht="18" customHeight="1">
      <c r="A7" s="31" t="s">
        <v>150</v>
      </c>
      <c r="B7" s="39" t="s">
        <v>51</v>
      </c>
      <c r="C7" s="40">
        <v>14004000</v>
      </c>
      <c r="D7" s="40">
        <v>15100000</v>
      </c>
      <c r="E7" s="40">
        <v>16870000</v>
      </c>
      <c r="F7" s="19">
        <f t="shared" si="0"/>
        <v>120.46558126249643</v>
      </c>
      <c r="G7" s="19">
        <f t="shared" si="1"/>
        <v>111.72185430463577</v>
      </c>
      <c r="H7" s="30"/>
      <c r="I7" s="30"/>
    </row>
    <row r="8" spans="1:7" ht="18" customHeight="1">
      <c r="A8" s="48" t="s">
        <v>153</v>
      </c>
      <c r="B8" s="39" t="s">
        <v>245</v>
      </c>
      <c r="C8" s="40">
        <v>40299997</v>
      </c>
      <c r="D8" s="40">
        <v>43121000</v>
      </c>
      <c r="E8" s="40">
        <v>45320160</v>
      </c>
      <c r="F8" s="19">
        <f t="shared" si="0"/>
        <v>112.45698107620206</v>
      </c>
      <c r="G8" s="19">
        <f t="shared" si="1"/>
        <v>105.09997449038751</v>
      </c>
    </row>
    <row r="9" spans="1:7" ht="18" customHeight="1">
      <c r="A9" s="48" t="s">
        <v>152</v>
      </c>
      <c r="B9" s="39" t="s">
        <v>48</v>
      </c>
      <c r="C9" s="40">
        <v>10957749</v>
      </c>
      <c r="D9" s="40">
        <v>7148000</v>
      </c>
      <c r="E9" s="40">
        <v>10000000</v>
      </c>
      <c r="F9" s="19">
        <f t="shared" si="0"/>
        <v>91.25961910607735</v>
      </c>
      <c r="G9" s="19">
        <f t="shared" si="1"/>
        <v>139.89927252378288</v>
      </c>
    </row>
    <row r="10" spans="1:7" ht="18" customHeight="1">
      <c r="A10" s="48" t="s">
        <v>151</v>
      </c>
      <c r="B10" s="39" t="s">
        <v>49</v>
      </c>
      <c r="C10" s="40">
        <v>1600000</v>
      </c>
      <c r="D10" s="40">
        <v>1700000</v>
      </c>
      <c r="E10" s="40">
        <v>1785000</v>
      </c>
      <c r="F10" s="19">
        <f t="shared" si="0"/>
        <v>111.56250000000001</v>
      </c>
      <c r="G10" s="19">
        <f t="shared" si="1"/>
        <v>105</v>
      </c>
    </row>
    <row r="11" spans="1:8" ht="18" customHeight="1">
      <c r="A11" s="31" t="s">
        <v>149</v>
      </c>
      <c r="B11" s="39" t="s">
        <v>452</v>
      </c>
      <c r="C11" s="40">
        <v>41616189</v>
      </c>
      <c r="D11" s="40">
        <v>42360450</v>
      </c>
      <c r="E11" s="40">
        <v>48507110</v>
      </c>
      <c r="F11" s="19">
        <f t="shared" si="0"/>
        <v>116.5582701481868</v>
      </c>
      <c r="G11" s="19">
        <f t="shared" si="1"/>
        <v>114.5103746537159</v>
      </c>
      <c r="H11" s="30">
        <f>SUM(E11:E14)</f>
        <v>64172200</v>
      </c>
    </row>
    <row r="12" spans="1:7" ht="18" customHeight="1">
      <c r="A12" s="31" t="s">
        <v>149</v>
      </c>
      <c r="B12" s="39" t="s">
        <v>453</v>
      </c>
      <c r="C12" s="40">
        <v>5681031</v>
      </c>
      <c r="D12" s="40">
        <v>5837290</v>
      </c>
      <c r="E12" s="40">
        <v>6624340</v>
      </c>
      <c r="F12" s="19">
        <f t="shared" si="0"/>
        <v>116.60453885923172</v>
      </c>
      <c r="G12" s="19">
        <f t="shared" si="1"/>
        <v>113.48314029284137</v>
      </c>
    </row>
    <row r="13" spans="1:7" ht="18" customHeight="1">
      <c r="A13" s="31" t="s">
        <v>149</v>
      </c>
      <c r="B13" s="39" t="s">
        <v>454</v>
      </c>
      <c r="C13" s="40">
        <v>7790880</v>
      </c>
      <c r="D13" s="40">
        <v>8767260</v>
      </c>
      <c r="E13" s="40">
        <v>9040750</v>
      </c>
      <c r="F13" s="19">
        <f t="shared" si="0"/>
        <v>116.04273201486868</v>
      </c>
      <c r="G13" s="19">
        <f t="shared" si="1"/>
        <v>103.11944666862851</v>
      </c>
    </row>
    <row r="14" spans="1:7" ht="18" customHeight="1">
      <c r="A14" s="31" t="s">
        <v>149</v>
      </c>
      <c r="B14" s="39" t="s">
        <v>346</v>
      </c>
      <c r="C14" s="40">
        <v>0</v>
      </c>
      <c r="D14" s="40">
        <v>6408000</v>
      </c>
      <c r="E14" s="40">
        <v>0</v>
      </c>
      <c r="F14" s="19" t="str">
        <f t="shared" si="0"/>
        <v>-</v>
      </c>
      <c r="G14" s="19">
        <f t="shared" si="1"/>
        <v>0</v>
      </c>
    </row>
    <row r="15" spans="1:7" ht="18" customHeight="1">
      <c r="A15" s="48" t="s">
        <v>148</v>
      </c>
      <c r="B15" s="39" t="s">
        <v>297</v>
      </c>
      <c r="C15" s="40">
        <v>34999863</v>
      </c>
      <c r="D15" s="40">
        <v>40000000</v>
      </c>
      <c r="E15" s="40">
        <v>30000000</v>
      </c>
      <c r="F15" s="19">
        <f t="shared" si="0"/>
        <v>85.71462122580309</v>
      </c>
      <c r="G15" s="19">
        <f t="shared" si="1"/>
        <v>75</v>
      </c>
    </row>
    <row r="16" spans="1:7" ht="18" customHeight="1">
      <c r="A16" s="48" t="s">
        <v>148</v>
      </c>
      <c r="B16" s="39" t="s">
        <v>389</v>
      </c>
      <c r="C16" s="40">
        <v>0</v>
      </c>
      <c r="D16" s="40">
        <v>1500000</v>
      </c>
      <c r="E16" s="40">
        <v>0</v>
      </c>
      <c r="F16" s="19" t="str">
        <f t="shared" si="0"/>
        <v>-</v>
      </c>
      <c r="G16" s="19">
        <f t="shared" si="1"/>
        <v>0</v>
      </c>
    </row>
    <row r="17" spans="1:7" ht="18" customHeight="1">
      <c r="A17" s="48" t="s">
        <v>162</v>
      </c>
      <c r="B17" s="39" t="s">
        <v>177</v>
      </c>
      <c r="C17" s="40">
        <v>12524720</v>
      </c>
      <c r="D17" s="40">
        <v>4600000</v>
      </c>
      <c r="E17" s="40"/>
      <c r="F17" s="19">
        <f t="shared" si="0"/>
        <v>0</v>
      </c>
      <c r="G17" s="19">
        <f t="shared" si="1"/>
        <v>0</v>
      </c>
    </row>
    <row r="18" spans="1:7" ht="18" customHeight="1">
      <c r="A18" s="48" t="s">
        <v>440</v>
      </c>
      <c r="B18" s="39" t="s">
        <v>441</v>
      </c>
      <c r="C18" s="40">
        <v>0</v>
      </c>
      <c r="D18" s="40">
        <v>0</v>
      </c>
      <c r="E18" s="40">
        <v>10000000</v>
      </c>
      <c r="F18" s="19" t="str">
        <f t="shared" si="0"/>
        <v>-</v>
      </c>
      <c r="G18" s="19" t="str">
        <f t="shared" si="1"/>
        <v>-</v>
      </c>
    </row>
    <row r="19" spans="1:7" ht="18" customHeight="1">
      <c r="A19" s="48" t="s">
        <v>147</v>
      </c>
      <c r="B19" s="39" t="s">
        <v>52</v>
      </c>
      <c r="C19" s="40">
        <v>0</v>
      </c>
      <c r="D19" s="40">
        <v>7193000</v>
      </c>
      <c r="E19" s="40">
        <v>0</v>
      </c>
      <c r="F19" s="19" t="str">
        <f t="shared" si="0"/>
        <v>-</v>
      </c>
      <c r="G19" s="19">
        <f t="shared" si="1"/>
        <v>0</v>
      </c>
    </row>
    <row r="20" spans="1:7" ht="18" customHeight="1">
      <c r="A20" s="48" t="s">
        <v>146</v>
      </c>
      <c r="B20" s="39" t="s">
        <v>390</v>
      </c>
      <c r="C20" s="40">
        <v>69954573</v>
      </c>
      <c r="D20" s="40">
        <f>90000000+20000000</f>
        <v>110000000</v>
      </c>
      <c r="E20" s="40">
        <v>170000000</v>
      </c>
      <c r="F20" s="19">
        <f t="shared" si="0"/>
        <v>243.01484907927323</v>
      </c>
      <c r="G20" s="19">
        <f t="shared" si="1"/>
        <v>154.54545454545453</v>
      </c>
    </row>
    <row r="21" spans="1:7" ht="18" customHeight="1">
      <c r="A21" s="31" t="s">
        <v>170</v>
      </c>
      <c r="B21" s="16" t="s">
        <v>391</v>
      </c>
      <c r="C21" s="40">
        <v>1303723</v>
      </c>
      <c r="D21" s="40">
        <v>6000000</v>
      </c>
      <c r="E21" s="40">
        <v>0</v>
      </c>
      <c r="F21" s="19">
        <f t="shared" si="0"/>
        <v>0</v>
      </c>
      <c r="G21" s="19">
        <f t="shared" si="1"/>
        <v>0</v>
      </c>
    </row>
    <row r="22" spans="1:7" ht="18" customHeight="1">
      <c r="A22" s="31" t="s">
        <v>171</v>
      </c>
      <c r="B22" s="16" t="s">
        <v>298</v>
      </c>
      <c r="C22" s="40">
        <v>2921808</v>
      </c>
      <c r="D22" s="40">
        <f>3000000+4300000-4300000+2481000+3000000</f>
        <v>8481000</v>
      </c>
      <c r="E22" s="40">
        <v>15000000</v>
      </c>
      <c r="F22" s="19">
        <f t="shared" si="0"/>
        <v>513.3807560250365</v>
      </c>
      <c r="G22" s="19">
        <f t="shared" si="1"/>
        <v>176.86593562079943</v>
      </c>
    </row>
    <row r="23" spans="1:7" ht="18" customHeight="1">
      <c r="A23" s="48" t="s">
        <v>172</v>
      </c>
      <c r="B23" s="39" t="s">
        <v>246</v>
      </c>
      <c r="C23" s="40">
        <v>9238871</v>
      </c>
      <c r="D23" s="40">
        <v>0</v>
      </c>
      <c r="E23" s="40">
        <v>5000000</v>
      </c>
      <c r="F23" s="19">
        <f t="shared" si="0"/>
        <v>54.11916672502517</v>
      </c>
      <c r="G23" s="19" t="str">
        <f t="shared" si="1"/>
        <v>-</v>
      </c>
    </row>
    <row r="24" spans="1:7" ht="18" customHeight="1">
      <c r="A24" s="48" t="s">
        <v>192</v>
      </c>
      <c r="B24" s="39" t="s">
        <v>351</v>
      </c>
      <c r="C24" s="40">
        <v>19901516</v>
      </c>
      <c r="D24" s="40">
        <f>20000000+10000000-1500000</f>
        <v>28500000</v>
      </c>
      <c r="E24" s="40">
        <v>25000000</v>
      </c>
      <c r="F24" s="19">
        <f t="shared" si="0"/>
        <v>125.61857096715647</v>
      </c>
      <c r="G24" s="19">
        <f t="shared" si="1"/>
        <v>87.71929824561403</v>
      </c>
    </row>
    <row r="25" spans="1:7" ht="18" customHeight="1">
      <c r="A25" s="48"/>
      <c r="B25" s="49" t="s">
        <v>352</v>
      </c>
      <c r="C25" s="40"/>
      <c r="D25" s="40"/>
      <c r="E25" s="40"/>
      <c r="F25" s="19" t="str">
        <f t="shared" si="0"/>
        <v>-</v>
      </c>
      <c r="G25" s="19" t="str">
        <f t="shared" si="1"/>
        <v>-</v>
      </c>
    </row>
    <row r="26" spans="1:7" ht="18" customHeight="1">
      <c r="A26" s="48" t="s">
        <v>217</v>
      </c>
      <c r="B26" s="23" t="s">
        <v>218</v>
      </c>
      <c r="C26" s="40">
        <v>2992850</v>
      </c>
      <c r="D26" s="40">
        <v>0</v>
      </c>
      <c r="E26" s="40">
        <v>0</v>
      </c>
      <c r="F26" s="19">
        <f t="shared" si="0"/>
        <v>0</v>
      </c>
      <c r="G26" s="19" t="str">
        <f t="shared" si="1"/>
        <v>-</v>
      </c>
    </row>
    <row r="27" spans="1:7" ht="18" customHeight="1">
      <c r="A27" s="48" t="s">
        <v>235</v>
      </c>
      <c r="B27" s="16" t="s">
        <v>247</v>
      </c>
      <c r="C27" s="24">
        <v>3779496</v>
      </c>
      <c r="D27" s="17">
        <v>0</v>
      </c>
      <c r="E27" s="40">
        <v>0</v>
      </c>
      <c r="F27" s="19">
        <f t="shared" si="0"/>
        <v>0</v>
      </c>
      <c r="G27" s="19" t="str">
        <f t="shared" si="1"/>
        <v>-</v>
      </c>
    </row>
    <row r="28" spans="1:7" ht="18" customHeight="1">
      <c r="A28" s="48" t="s">
        <v>339</v>
      </c>
      <c r="B28" s="16" t="s">
        <v>455</v>
      </c>
      <c r="C28" s="24">
        <v>0</v>
      </c>
      <c r="D28" s="17">
        <v>1500000</v>
      </c>
      <c r="E28" s="40">
        <v>0</v>
      </c>
      <c r="F28" s="19" t="str">
        <f t="shared" si="0"/>
        <v>-</v>
      </c>
      <c r="G28" s="19">
        <f t="shared" si="1"/>
        <v>0</v>
      </c>
    </row>
    <row r="29" spans="1:7" ht="18" customHeight="1" thickBot="1">
      <c r="A29" s="5"/>
      <c r="B29" s="50" t="s">
        <v>254</v>
      </c>
      <c r="C29" s="41">
        <f>SUM(C3:C28)</f>
        <v>309108266</v>
      </c>
      <c r="D29" s="41">
        <f>SUM(D3:D28)</f>
        <v>374006000</v>
      </c>
      <c r="E29" s="41">
        <f>SUM(E3:E28)</f>
        <v>429782360</v>
      </c>
      <c r="F29" s="35">
        <f t="shared" si="0"/>
        <v>139.03942639955153</v>
      </c>
      <c r="G29" s="35">
        <f t="shared" si="1"/>
        <v>114.91322599102689</v>
      </c>
    </row>
    <row r="30" spans="1:7" ht="18" customHeight="1">
      <c r="A30" s="51"/>
      <c r="B30" s="52"/>
      <c r="C30" s="53"/>
      <c r="D30" s="53"/>
      <c r="E30" s="53"/>
      <c r="F30" s="54"/>
      <c r="G30" s="54"/>
    </row>
    <row r="31" spans="1:7" ht="18" customHeight="1">
      <c r="A31" s="55"/>
      <c r="B31" s="56"/>
      <c r="C31" s="57"/>
      <c r="D31" s="57"/>
      <c r="E31" s="57"/>
      <c r="F31" s="58"/>
      <c r="G31" s="58"/>
    </row>
    <row r="32" spans="1:7" ht="18" customHeight="1">
      <c r="A32" s="55"/>
      <c r="B32" s="59"/>
      <c r="C32" s="60"/>
      <c r="D32" s="60"/>
      <c r="E32" s="60"/>
      <c r="F32" s="58"/>
      <c r="G32" s="58"/>
    </row>
    <row r="33" spans="1:7" ht="18" customHeight="1">
      <c r="A33" s="55"/>
      <c r="B33" s="61"/>
      <c r="C33" s="57"/>
      <c r="D33" s="57"/>
      <c r="E33" s="57"/>
      <c r="F33" s="62"/>
      <c r="G33" s="62"/>
    </row>
    <row r="34" spans="1:7" ht="18" customHeight="1">
      <c r="A34" s="55"/>
      <c r="B34" s="56"/>
      <c r="C34" s="57"/>
      <c r="D34" s="57"/>
      <c r="E34" s="57"/>
      <c r="F34" s="58"/>
      <c r="G34" s="58"/>
    </row>
    <row r="35" spans="1:7" ht="18" customHeight="1">
      <c r="A35" s="55"/>
      <c r="B35" s="61"/>
      <c r="C35" s="57"/>
      <c r="D35" s="57"/>
      <c r="E35" s="57"/>
      <c r="F35" s="62"/>
      <c r="G35" s="62"/>
    </row>
    <row r="41" ht="18" customHeight="1">
      <c r="B41" s="26"/>
    </row>
    <row r="43" ht="18" customHeight="1">
      <c r="B43" s="26"/>
    </row>
    <row r="47" ht="18" customHeight="1">
      <c r="B47" s="26"/>
    </row>
    <row r="50" ht="18" customHeight="1">
      <c r="B50" s="26"/>
    </row>
    <row r="55" ht="18" customHeight="1">
      <c r="B55" s="26"/>
    </row>
  </sheetData>
  <printOptions/>
  <pageMargins left="0.19" right="0.17" top="1.17" bottom="1.01" header="0.41" footer="0.5511811023622047"/>
  <pageSetup firstPageNumber="21" useFirstPageNumber="1" horizontalDpi="360" verticalDpi="360" orientation="portrait" paperSize="9" r:id="rId3"/>
  <headerFooter alignWithMargins="0">
    <oddHeader>&amp;L&amp;"Arial CE,Krepko"&amp;11PREGLED NALOG ZA PODROČJE:&amp;C&amp;11
&amp;"Arial CE,Krepko"&amp;14&amp;A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2003-02-18T07:48:26Z</cp:lastPrinted>
  <dcterms:created xsi:type="dcterms:W3CDTF">1999-04-13T10:37:05Z</dcterms:created>
  <dcterms:modified xsi:type="dcterms:W3CDTF">2002-06-24T14:20:47Z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